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AG24" i="1" l="1"/>
  <c r="AY24" i="1" s="1"/>
  <c r="AF24" i="1"/>
  <c r="AX24" i="1" s="1"/>
  <c r="Y24" i="1"/>
  <c r="AQ24" i="1" s="1"/>
  <c r="X24" i="1"/>
  <c r="AP24" i="1" s="1"/>
  <c r="T24" i="1"/>
  <c r="AH24" i="1" s="1"/>
  <c r="AZ24" i="1" s="1"/>
  <c r="S24" i="1"/>
  <c r="R24" i="1"/>
  <c r="Q24" i="1"/>
  <c r="AE24" i="1" s="1"/>
  <c r="AW24" i="1" s="1"/>
  <c r="P24" i="1"/>
  <c r="AD24" i="1" s="1"/>
  <c r="AV24" i="1" s="1"/>
  <c r="O24" i="1"/>
  <c r="AC24" i="1" s="1"/>
  <c r="AU24" i="1" s="1"/>
  <c r="N24" i="1"/>
  <c r="AB24" i="1" s="1"/>
  <c r="AT24" i="1" s="1"/>
  <c r="M24" i="1"/>
  <c r="AA24" i="1" s="1"/>
  <c r="AS24" i="1" s="1"/>
  <c r="L24" i="1"/>
  <c r="Z24" i="1" s="1"/>
  <c r="AR24" i="1" s="1"/>
  <c r="K24" i="1"/>
  <c r="J24" i="1"/>
  <c r="I24" i="1"/>
  <c r="W24" i="1" s="1"/>
  <c r="AO24" i="1" s="1"/>
  <c r="AA21" i="1" l="1"/>
  <c r="Q21" i="1"/>
  <c r="P21" i="1"/>
  <c r="O21" i="1"/>
  <c r="N21" i="1"/>
  <c r="AB21" i="1" s="1"/>
  <c r="M21" i="1"/>
  <c r="BC19" i="1"/>
  <c r="T18" i="1"/>
  <c r="S18" i="1"/>
  <c r="R18" i="1"/>
  <c r="Q18" i="1"/>
  <c r="P18" i="1"/>
  <c r="O18" i="1"/>
  <c r="N18" i="1"/>
  <c r="AB18" i="1" s="1"/>
  <c r="M18" i="1"/>
  <c r="AA18" i="1" s="1"/>
  <c r="K18" i="1"/>
  <c r="Y18" i="1" s="1"/>
  <c r="BB26" i="1"/>
  <c r="BB36" i="1" s="1"/>
  <c r="BA15" i="1"/>
  <c r="BA14" i="1"/>
  <c r="BA13" i="1"/>
  <c r="AY16" i="1"/>
  <c r="AW16" i="1"/>
  <c r="AT16" i="1"/>
  <c r="AZ16" i="1"/>
  <c r="AX16" i="1"/>
  <c r="AV16" i="1"/>
  <c r="AU16" i="1"/>
  <c r="AS16" i="1"/>
  <c r="AQ16" i="1"/>
  <c r="F16" i="1"/>
  <c r="BA16" i="1" l="1"/>
  <c r="BC16" i="1" s="1"/>
  <c r="M23" i="1"/>
  <c r="M22" i="1"/>
  <c r="O23" i="1" l="1"/>
  <c r="N23" i="1"/>
  <c r="U23" i="1" s="1"/>
  <c r="U24" i="1" l="1"/>
  <c r="AE23" i="1"/>
  <c r="AW23" i="1" s="1"/>
  <c r="AD23" i="1"/>
  <c r="AV23" i="1" s="1"/>
  <c r="AC23" i="1"/>
  <c r="AU23" i="1" s="1"/>
  <c r="AB23" i="1" l="1"/>
  <c r="AT23" i="1" s="1"/>
  <c r="AA23" i="1"/>
  <c r="AS23" i="1" s="1"/>
  <c r="I17" i="1"/>
  <c r="W17" i="1" s="1"/>
  <c r="L25" i="1"/>
  <c r="K25" i="1"/>
  <c r="J25" i="1"/>
  <c r="I25" i="1"/>
  <c r="L20" i="1"/>
  <c r="N20" i="1" s="1"/>
  <c r="Q20" i="1" s="1"/>
  <c r="S20" i="1" s="1"/>
  <c r="K20" i="1"/>
  <c r="M20" i="1" s="1"/>
  <c r="J20" i="1"/>
  <c r="I20" i="1"/>
  <c r="W20" i="1" s="1"/>
  <c r="L19" i="1"/>
  <c r="J19" i="1"/>
  <c r="I19" i="1"/>
  <c r="L18" i="1"/>
  <c r="Z18" i="1" s="1"/>
  <c r="J18" i="1"/>
  <c r="I18" i="1"/>
  <c r="L17" i="1"/>
  <c r="N17" i="1" s="1"/>
  <c r="Q17" i="1" s="1"/>
  <c r="S17" i="1" s="1"/>
  <c r="K17" i="1"/>
  <c r="Y17" i="1" s="1"/>
  <c r="AA17" i="1" s="1"/>
  <c r="J17" i="1"/>
  <c r="X17" i="1" s="1"/>
  <c r="AP17" i="1" s="1"/>
  <c r="L15" i="1"/>
  <c r="N15" i="1" s="1"/>
  <c r="Q15" i="1" s="1"/>
  <c r="S15" i="1" s="1"/>
  <c r="K15" i="1"/>
  <c r="J15" i="1"/>
  <c r="X15" i="1" s="1"/>
  <c r="I15" i="1"/>
  <c r="M15" i="1" s="1"/>
  <c r="O15" i="1" s="1"/>
  <c r="P15" i="1" s="1"/>
  <c r="R15" i="1" s="1"/>
  <c r="T15" i="1" s="1"/>
  <c r="L14" i="1"/>
  <c r="N14" i="1" s="1"/>
  <c r="Q14" i="1" s="1"/>
  <c r="S14" i="1" s="1"/>
  <c r="K14" i="1"/>
  <c r="J14" i="1"/>
  <c r="X14" i="1" s="1"/>
  <c r="I14" i="1"/>
  <c r="M14" i="1" s="1"/>
  <c r="O14" i="1" s="1"/>
  <c r="P14" i="1" s="1"/>
  <c r="R14" i="1" s="1"/>
  <c r="T14" i="1" s="1"/>
  <c r="L13" i="1"/>
  <c r="N13" i="1" s="1"/>
  <c r="Q13" i="1" s="1"/>
  <c r="S13" i="1" s="1"/>
  <c r="K13" i="1"/>
  <c r="J13" i="1"/>
  <c r="X13" i="1" s="1"/>
  <c r="AP13" i="1" s="1"/>
  <c r="AP14" i="1" s="1"/>
  <c r="I13" i="1"/>
  <c r="M13" i="1" s="1"/>
  <c r="O13" i="1" s="1"/>
  <c r="P13" i="1" s="1"/>
  <c r="R13" i="1" s="1"/>
  <c r="T13" i="1" s="1"/>
  <c r="L12" i="1"/>
  <c r="K12" i="1"/>
  <c r="J12" i="1"/>
  <c r="I12" i="1"/>
  <c r="X12" i="1" l="1"/>
  <c r="AP12" i="1" s="1"/>
  <c r="J16" i="1"/>
  <c r="X16" i="1" s="1"/>
  <c r="M12" i="1"/>
  <c r="O12" i="1" s="1"/>
  <c r="P12" i="1" s="1"/>
  <c r="R12" i="1" s="1"/>
  <c r="T12" i="1" s="1"/>
  <c r="I16" i="1"/>
  <c r="K16" i="1"/>
  <c r="N12" i="1"/>
  <c r="Q12" i="1" s="1"/>
  <c r="S12" i="1" s="1"/>
  <c r="L16" i="1"/>
  <c r="M17" i="1"/>
  <c r="O17" i="1" s="1"/>
  <c r="P17" i="1" s="1"/>
  <c r="R17" i="1" s="1"/>
  <c r="T17" i="1" s="1"/>
  <c r="AE18" i="1"/>
  <c r="AG18" i="1"/>
  <c r="X25" i="1"/>
  <c r="J26" i="1"/>
  <c r="M25" i="1"/>
  <c r="K26" i="1"/>
  <c r="W25" i="1"/>
  <c r="I26" i="1"/>
  <c r="N25" i="1"/>
  <c r="BA24" i="1"/>
  <c r="BC24" i="1" s="1"/>
  <c r="AO17" i="1"/>
  <c r="AU17" i="1" s="1"/>
  <c r="W14" i="1"/>
  <c r="Y14" i="1" s="1"/>
  <c r="AA14" i="1" s="1"/>
  <c r="AD14" i="1" s="1"/>
  <c r="AF14" i="1" s="1"/>
  <c r="AH14" i="1" s="1"/>
  <c r="AD17" i="1"/>
  <c r="AC17" i="1"/>
  <c r="AC20" i="1"/>
  <c r="AF20" i="1" s="1"/>
  <c r="AA20" i="1"/>
  <c r="AD20" i="1"/>
  <c r="AH20" i="1" s="1"/>
  <c r="Z12" i="1"/>
  <c r="Y20" i="1"/>
  <c r="AQ20" i="1" s="1"/>
  <c r="Z14" i="1"/>
  <c r="AB14" i="1" s="1"/>
  <c r="AE14" i="1" s="1"/>
  <c r="AG14" i="1" s="1"/>
  <c r="W13" i="1"/>
  <c r="Y13" i="1" s="1"/>
  <c r="AA13" i="1" s="1"/>
  <c r="AD13" i="1" s="1"/>
  <c r="AF13" i="1" s="1"/>
  <c r="AH13" i="1" s="1"/>
  <c r="Z13" i="1"/>
  <c r="AB13" i="1" s="1"/>
  <c r="AE13" i="1" s="1"/>
  <c r="AG13" i="1" s="1"/>
  <c r="W15" i="1"/>
  <c r="Y15" i="1" s="1"/>
  <c r="AA15" i="1" s="1"/>
  <c r="AC15" i="1" s="1"/>
  <c r="Z15" i="1"/>
  <c r="AB15" i="1" s="1"/>
  <c r="AE15" i="1" s="1"/>
  <c r="AG15" i="1" s="1"/>
  <c r="Z17" i="1"/>
  <c r="Z20" i="1"/>
  <c r="Z25" i="1"/>
  <c r="P20" i="1"/>
  <c r="R20" i="1" s="1"/>
  <c r="T20" i="1" s="1"/>
  <c r="O20" i="1"/>
  <c r="P25" i="1"/>
  <c r="O25" i="1"/>
  <c r="AJ14" i="1"/>
  <c r="AJ15" i="1"/>
  <c r="AP15" i="1" s="1"/>
  <c r="Z16" i="1" l="1"/>
  <c r="AB16" i="1" s="1"/>
  <c r="AE16" i="1" s="1"/>
  <c r="AG16" i="1" s="1"/>
  <c r="N16" i="1"/>
  <c r="Q16" i="1" s="1"/>
  <c r="S16" i="1" s="1"/>
  <c r="W16" i="1"/>
  <c r="Y16" i="1" s="1"/>
  <c r="AA16" i="1" s="1"/>
  <c r="M16" i="1"/>
  <c r="O16" i="1" s="1"/>
  <c r="P16" i="1" s="1"/>
  <c r="R16" i="1" s="1"/>
  <c r="T16" i="1" s="1"/>
  <c r="L26" i="1"/>
  <c r="R25" i="1"/>
  <c r="AR25" i="1"/>
  <c r="Z26" i="1"/>
  <c r="Q25" i="1"/>
  <c r="N26" i="1"/>
  <c r="AI24" i="1"/>
  <c r="AQ17" i="1"/>
  <c r="AS17" i="1"/>
  <c r="AB17" i="1"/>
  <c r="AR17" i="1"/>
  <c r="AC13" i="1"/>
  <c r="AD15" i="1"/>
  <c r="AF15" i="1" s="1"/>
  <c r="AH15" i="1" s="1"/>
  <c r="AB20" i="1"/>
  <c r="AE20" i="1" s="1"/>
  <c r="AG20" i="1" s="1"/>
  <c r="AR20" i="1"/>
  <c r="AT20" i="1" s="1"/>
  <c r="AV20" i="1"/>
  <c r="AI23" i="1"/>
  <c r="AC14" i="1"/>
  <c r="AB12" i="1"/>
  <c r="AH17" i="1"/>
  <c r="AF17" i="1"/>
  <c r="Y25" i="1"/>
  <c r="Y26" i="1" s="1"/>
  <c r="AP25" i="1"/>
  <c r="AO25" i="1"/>
  <c r="AE21" i="1"/>
  <c r="AW21" i="1" s="1"/>
  <c r="AD21" i="1"/>
  <c r="AV21" i="1" s="1"/>
  <c r="AC21" i="1"/>
  <c r="AT21" i="1"/>
  <c r="AS21" i="1"/>
  <c r="U21" i="1"/>
  <c r="W21" i="1"/>
  <c r="X22" i="1"/>
  <c r="U17" i="1"/>
  <c r="U12" i="1"/>
  <c r="U14" i="1"/>
  <c r="U13" i="1"/>
  <c r="X20" i="1"/>
  <c r="X19" i="1"/>
  <c r="X18" i="1"/>
  <c r="X26" i="1" s="1"/>
  <c r="W19" i="1"/>
  <c r="AO19" i="1" s="1"/>
  <c r="W18" i="1"/>
  <c r="W26" i="1" s="1"/>
  <c r="AO14" i="1"/>
  <c r="W12" i="1"/>
  <c r="AD16" i="1" l="1"/>
  <c r="AF16" i="1" s="1"/>
  <c r="AH16" i="1" s="1"/>
  <c r="AC16" i="1"/>
  <c r="P26" i="1"/>
  <c r="M26" i="1"/>
  <c r="AU21" i="1"/>
  <c r="AI21" i="1"/>
  <c r="O26" i="1"/>
  <c r="AO18" i="1"/>
  <c r="AH18" i="1"/>
  <c r="AD18" i="1"/>
  <c r="AF18" i="1"/>
  <c r="AC18" i="1"/>
  <c r="T25" i="1"/>
  <c r="T26" i="1" s="1"/>
  <c r="R26" i="1"/>
  <c r="S25" i="1"/>
  <c r="S26" i="1" s="1"/>
  <c r="Q26" i="1"/>
  <c r="AE17" i="1"/>
  <c r="AG17" i="1" s="1"/>
  <c r="AI17" i="1"/>
  <c r="AQ19" i="1"/>
  <c r="BA21" i="1"/>
  <c r="BC21" i="1" s="1"/>
  <c r="BA23" i="1"/>
  <c r="BC23" i="1" s="1"/>
  <c r="AO12" i="1"/>
  <c r="Y12" i="1"/>
  <c r="AE12" i="1"/>
  <c r="AQ25" i="1"/>
  <c r="AB25" i="1"/>
  <c r="AA25" i="1"/>
  <c r="AT25" i="1"/>
  <c r="U25" i="1" l="1"/>
  <c r="AQ18" i="1"/>
  <c r="AQ26" i="1" s="1"/>
  <c r="AS18" i="1"/>
  <c r="AG12" i="1"/>
  <c r="AY12" i="1" s="1"/>
  <c r="AA12" i="1"/>
  <c r="AQ12" i="1"/>
  <c r="AE25" i="1"/>
  <c r="AC25" i="1"/>
  <c r="AC26" i="1" s="1"/>
  <c r="AS25" i="1"/>
  <c r="AI15" i="1"/>
  <c r="AZ14" i="1"/>
  <c r="AS13" i="1"/>
  <c r="AI20" i="1"/>
  <c r="AI19" i="1"/>
  <c r="AI13" i="1"/>
  <c r="U20" i="1"/>
  <c r="U19" i="1"/>
  <c r="U18" i="1"/>
  <c r="U26" i="1" s="1"/>
  <c r="AI18" i="1"/>
  <c r="AE22" i="1"/>
  <c r="AW22" i="1" s="1"/>
  <c r="AD22" i="1"/>
  <c r="AV22" i="1" s="1"/>
  <c r="AC22" i="1"/>
  <c r="AU22" i="1" s="1"/>
  <c r="AB22" i="1"/>
  <c r="AT22" i="1" s="1"/>
  <c r="AA22" i="1"/>
  <c r="AS22" i="1" s="1"/>
  <c r="H26" i="1"/>
  <c r="U22" i="1"/>
  <c r="AZ13" i="1"/>
  <c r="AX13" i="1"/>
  <c r="AW12" i="1"/>
  <c r="AV13" i="1"/>
  <c r="AT13" i="1"/>
  <c r="AT12" i="1"/>
  <c r="AS14" i="1"/>
  <c r="AQ13" i="1" s="1"/>
  <c r="AQ14" i="1" s="1"/>
  <c r="AS12" i="1"/>
  <c r="AR12" i="1"/>
  <c r="AI14" i="1"/>
  <c r="U15" i="1"/>
  <c r="U16" i="1" s="1"/>
  <c r="AA26" i="1" l="1"/>
  <c r="AB26" i="1"/>
  <c r="AW25" i="1"/>
  <c r="AE26" i="1"/>
  <c r="AC12" i="1"/>
  <c r="AD12" i="1"/>
  <c r="AD25" i="1"/>
  <c r="AD26" i="1" s="1"/>
  <c r="AG25" i="1"/>
  <c r="AG26" i="1" s="1"/>
  <c r="AU25" i="1"/>
  <c r="AV25" i="1"/>
  <c r="AR13" i="1"/>
  <c r="AU13" i="1"/>
  <c r="AW13" i="1"/>
  <c r="AY13" i="1"/>
  <c r="AO13" i="1"/>
  <c r="AO15" i="1"/>
  <c r="AY14" i="1"/>
  <c r="AI22" i="1"/>
  <c r="AX14" i="1"/>
  <c r="AR14" i="1"/>
  <c r="AT14" i="1"/>
  <c r="AV14" i="1"/>
  <c r="AU14" i="1"/>
  <c r="AW14" i="1"/>
  <c r="AX25" i="1" l="1"/>
  <c r="AY25" i="1"/>
  <c r="AU12" i="1"/>
  <c r="AF12" i="1"/>
  <c r="AV12" i="1"/>
  <c r="AF25" i="1"/>
  <c r="AF26" i="1" s="1"/>
  <c r="AR15" i="1"/>
  <c r="AY15" i="1"/>
  <c r="AW15" i="1"/>
  <c r="AU15" i="1"/>
  <c r="AZ15" i="1"/>
  <c r="AX15" i="1"/>
  <c r="AS15" i="1"/>
  <c r="AV15" i="1"/>
  <c r="AT15" i="1"/>
  <c r="AZ25" i="1" l="1"/>
  <c r="AH12" i="1"/>
  <c r="AZ12" i="1" s="1"/>
  <c r="AX12" i="1"/>
  <c r="AI12" i="1"/>
  <c r="AI16" i="1" s="1"/>
  <c r="AH25" i="1"/>
  <c r="AH26" i="1" s="1"/>
  <c r="AQ15" i="1"/>
  <c r="AV17" i="1"/>
  <c r="AT17" i="1"/>
  <c r="AY17" i="1"/>
  <c r="AW17" i="1"/>
  <c r="AZ17" i="1"/>
  <c r="AX17" i="1"/>
  <c r="BA17" i="1" l="1"/>
  <c r="BC17" i="1" s="1"/>
  <c r="AI25" i="1"/>
  <c r="AI26" i="1" s="1"/>
  <c r="AP18" i="1"/>
  <c r="AZ18" i="1"/>
  <c r="AW18" i="1"/>
  <c r="AT18" i="1"/>
  <c r="AR18" i="1"/>
  <c r="AV18" i="1"/>
  <c r="AU18" i="1"/>
  <c r="AY18" i="1"/>
  <c r="AX18" i="1"/>
  <c r="BA18" i="1" l="1"/>
  <c r="BC18" i="1" s="1"/>
  <c r="AP19" i="1"/>
  <c r="AY19" i="1"/>
  <c r="AZ19" i="1"/>
  <c r="AX19" i="1"/>
  <c r="AT19" i="1"/>
  <c r="AT26" i="1" s="1"/>
  <c r="AR19" i="1"/>
  <c r="AR26" i="1" s="1"/>
  <c r="AV19" i="1"/>
  <c r="AV26" i="1" s="1"/>
  <c r="AW19" i="1"/>
  <c r="AS19" i="1"/>
  <c r="AU19" i="1"/>
  <c r="AU26" i="1" l="1"/>
  <c r="AS26" i="1"/>
  <c r="AP20" i="1"/>
  <c r="AO20" i="1"/>
  <c r="AO26" i="1" s="1"/>
  <c r="AZ20" i="1"/>
  <c r="AZ26" i="1" s="1"/>
  <c r="AX20" i="1"/>
  <c r="AX26" i="1" s="1"/>
  <c r="AU20" i="1"/>
  <c r="AS20" i="1"/>
  <c r="AY20" i="1"/>
  <c r="AY26" i="1" s="1"/>
  <c r="AW20" i="1"/>
  <c r="AW26" i="1" s="1"/>
  <c r="BA20" i="1" l="1"/>
  <c r="BC20" i="1" s="1"/>
  <c r="AP22" i="1"/>
  <c r="AP26" i="1" s="1"/>
  <c r="BB33" i="1" l="1"/>
  <c r="BB32" i="1"/>
  <c r="BA22" i="1"/>
  <c r="BC22" i="1" s="1"/>
  <c r="BC26" i="1" s="1"/>
  <c r="BA25" i="1"/>
  <c r="BA26" i="1" s="1"/>
  <c r="BB28" i="1" l="1"/>
  <c r="BC25" i="1"/>
  <c r="BD26" i="1" s="1"/>
</calcChain>
</file>

<file path=xl/sharedStrings.xml><?xml version="1.0" encoding="utf-8"?>
<sst xmlns="http://schemas.openxmlformats.org/spreadsheetml/2006/main" count="126" uniqueCount="50">
  <si>
    <t>№ п/п</t>
  </si>
  <si>
    <t>№ маршрута</t>
  </si>
  <si>
    <t>Пункт назначения</t>
  </si>
  <si>
    <t>Вместимость, чел.</t>
  </si>
  <si>
    <t>Количество рейсов в день</t>
  </si>
  <si>
    <t>Протяженность маршрута (км)</t>
  </si>
  <si>
    <t>2(1)</t>
  </si>
  <si>
    <t>Центр-ДРСП</t>
  </si>
  <si>
    <t>2(2)</t>
  </si>
  <si>
    <t>2(3)</t>
  </si>
  <si>
    <t>2(4)</t>
  </si>
  <si>
    <t>Количество рейсов по месяцам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</si>
  <si>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</si>
  <si>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</si>
  <si>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</si>
  <si>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</si>
  <si>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</si>
  <si>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</si>
  <si>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</si>
  <si>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</si>
  <si>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</si>
  <si>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</si>
  <si>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</si>
  <si>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</si>
  <si>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ВСЕГО</t>
  </si>
  <si>
    <t>Пробег с пассажирами, км</t>
  </si>
  <si>
    <t>Сумма субсидий, руб.</t>
  </si>
  <si>
    <t>Малая-п.Бе-зымянный</t>
  </si>
  <si>
    <t>Центр-СПТУ-62</t>
  </si>
  <si>
    <t>п.Южный-ж/д вокзал</t>
  </si>
  <si>
    <t>п.Горняк-сельмаш</t>
  </si>
  <si>
    <t>ИТОГО:</t>
  </si>
  <si>
    <t>Центр-Сады ГРЭС</t>
  </si>
  <si>
    <t>DAEWOO</t>
  </si>
  <si>
    <t>HYUNDAI</t>
  </si>
  <si>
    <t xml:space="preserve"> −</t>
  </si>
  <si>
    <t>ПАЗ</t>
  </si>
  <si>
    <t>Норма субси-дирования,                              руб. на 1 км</t>
  </si>
  <si>
    <t>Центр - Горсады</t>
  </si>
  <si>
    <t>Автобаза №2-вещевой рынок</t>
  </si>
  <si>
    <t>Центр-Сады-Аэропорт</t>
  </si>
  <si>
    <t xml:space="preserve"> </t>
  </si>
  <si>
    <t>Малая – 7 кооператив</t>
  </si>
  <si>
    <t>Программа пассажирских перевозок автомобильным транспортом по муниципальным маршрутам на территории города Назарово на 2023 год</t>
  </si>
  <si>
    <t>Всего по маршруту №2</t>
  </si>
  <si>
    <t>ПАЗ 4234</t>
  </si>
  <si>
    <t>ПАЗ 32054</t>
  </si>
  <si>
    <t xml:space="preserve">ПАЗ </t>
  </si>
  <si>
    <t>Приоритетная марка автомобиля</t>
  </si>
  <si>
    <t>Приложение к Постановлению администрации города Назарово от 31.01.2023 г. № 96-п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</si>
</sst>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;[Red]0.00"/>
    <numFmt numFmtId="165" formatCode="#,##0.0;[Red]#,##0.0"/>
    <numFmt numFmtId="166" formatCode="#,##0.00;[Red]#,##0.00"/>
    <numFmt numFmtId="167" formatCode="#,##0.000;[Red]#,##0.000"/>
  </numFmts>
  <fonts count="24" x14ac:knownFonts="1">
    <font>
      <sz val="11"/>
      <color theme="1"/>
      <name val="Calibri"/>
      <family val="2"/>
      <charset val="204"/>
      <scheme val="minor"/>
    </font>
    <font>
      <sz val="7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9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7"/>
      <color theme="1"/>
      <name val="Arial"/>
      <family val="2"/>
      <charset val="204"/>
    </font>
    <font>
      <b/>
      <sz val="7.5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b/>
      <sz val="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6" fillId="0" borderId="1" xfId="0" applyFont="1" applyBorder="1" applyAlignment="1">
      <alignment textRotation="90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textRotation="90"/>
    </xf>
    <xf numFmtId="2" fontId="3" fillId="0" borderId="1" xfId="0" applyNumberFormat="1" applyFont="1" applyBorder="1" applyAlignment="1">
      <alignment horizontal="center" textRotation="90"/>
    </xf>
    <xf numFmtId="0" fontId="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4" fontId="6" fillId="0" borderId="1" xfId="0" applyNumberFormat="1" applyFont="1" applyBorder="1" applyAlignment="1">
      <alignment textRotation="90"/>
    </xf>
    <xf numFmtId="4" fontId="2" fillId="0" borderId="1" xfId="0" applyNumberFormat="1" applyFont="1" applyBorder="1" applyAlignment="1">
      <alignment horizontal="center" textRotation="90"/>
    </xf>
    <xf numFmtId="4" fontId="7" fillId="0" borderId="1" xfId="0" applyNumberFormat="1" applyFont="1" applyBorder="1" applyAlignment="1">
      <alignment textRotation="90"/>
    </xf>
    <xf numFmtId="4" fontId="6" fillId="2" borderId="1" xfId="0" applyNumberFormat="1" applyFont="1" applyFill="1" applyBorder="1" applyAlignment="1">
      <alignment textRotation="90"/>
    </xf>
    <xf numFmtId="4" fontId="2" fillId="2" borderId="1" xfId="0" applyNumberFormat="1" applyFont="1" applyFill="1" applyBorder="1" applyAlignment="1">
      <alignment horizontal="center" textRotation="90"/>
    </xf>
    <xf numFmtId="4" fontId="17" fillId="0" borderId="1" xfId="0" applyNumberFormat="1" applyFont="1" applyBorder="1" applyAlignment="1">
      <alignment textRotation="90"/>
    </xf>
    <xf numFmtId="4" fontId="2" fillId="0" borderId="1" xfId="0" applyNumberFormat="1" applyFont="1" applyBorder="1" applyAlignment="1">
      <alignment horizontal="right" textRotation="90"/>
    </xf>
    <xf numFmtId="4" fontId="2" fillId="2" borderId="1" xfId="0" applyNumberFormat="1" applyFont="1" applyFill="1" applyBorder="1" applyAlignment="1">
      <alignment horizontal="right" textRotation="90"/>
    </xf>
    <xf numFmtId="4" fontId="6" fillId="0" borderId="1" xfId="0" applyNumberFormat="1" applyFont="1" applyBorder="1" applyAlignment="1">
      <alignment horizontal="center" textRotation="90"/>
    </xf>
    <xf numFmtId="165" fontId="8" fillId="0" borderId="0" xfId="0" applyNumberFormat="1" applyFont="1" applyBorder="1"/>
    <xf numFmtId="4" fontId="0" fillId="0" borderId="0" xfId="0" applyNumberFormat="1"/>
    <xf numFmtId="166" fontId="8" fillId="0" borderId="0" xfId="0" applyNumberFormat="1" applyFont="1" applyBorder="1"/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textRotation="90"/>
    </xf>
    <xf numFmtId="0" fontId="6" fillId="2" borderId="1" xfId="0" applyFont="1" applyFill="1" applyBorder="1" applyAlignment="1">
      <alignment textRotation="90"/>
    </xf>
    <xf numFmtId="0" fontId="2" fillId="2" borderId="1" xfId="0" applyFont="1" applyFill="1" applyBorder="1" applyAlignment="1">
      <alignment horizontal="center" textRotation="90" wrapText="1"/>
    </xf>
    <xf numFmtId="4" fontId="12" fillId="0" borderId="0" xfId="0" applyNumberFormat="1" applyFont="1"/>
    <xf numFmtId="4" fontId="7" fillId="2" borderId="1" xfId="0" applyNumberFormat="1" applyFont="1" applyFill="1" applyBorder="1" applyAlignment="1">
      <alignment textRotation="90"/>
    </xf>
    <xf numFmtId="4" fontId="17" fillId="2" borderId="1" xfId="0" applyNumberFormat="1" applyFont="1" applyFill="1" applyBorder="1" applyAlignment="1">
      <alignment textRotation="90"/>
    </xf>
    <xf numFmtId="166" fontId="0" fillId="0" borderId="0" xfId="0" applyNumberFormat="1"/>
    <xf numFmtId="166" fontId="0" fillId="2" borderId="0" xfId="0" applyNumberFormat="1" applyFill="1"/>
    <xf numFmtId="4" fontId="7" fillId="0" borderId="1" xfId="0" applyNumberFormat="1" applyFont="1" applyBorder="1" applyAlignment="1">
      <alignment vertical="center" textRotation="90"/>
    </xf>
    <xf numFmtId="4" fontId="17" fillId="0" borderId="1" xfId="0" applyNumberFormat="1" applyFont="1" applyBorder="1" applyAlignment="1">
      <alignment vertical="center" textRotation="90"/>
    </xf>
    <xf numFmtId="4" fontId="7" fillId="3" borderId="5" xfId="0" applyNumberFormat="1" applyFont="1" applyFill="1" applyBorder="1" applyAlignment="1">
      <alignment vertical="center" textRotation="90"/>
    </xf>
    <xf numFmtId="4" fontId="7" fillId="3" borderId="6" xfId="0" applyNumberFormat="1" applyFont="1" applyFill="1" applyBorder="1" applyAlignment="1">
      <alignment vertical="center" textRotation="90"/>
    </xf>
    <xf numFmtId="4" fontId="7" fillId="3" borderId="7" xfId="0" applyNumberFormat="1" applyFont="1" applyFill="1" applyBorder="1" applyAlignment="1">
      <alignment vertical="center" textRotation="90"/>
    </xf>
    <xf numFmtId="0" fontId="4" fillId="0" borderId="1" xfId="0" applyFont="1" applyBorder="1" applyAlignment="1">
      <alignment vertical="center"/>
    </xf>
    <xf numFmtId="2" fontId="4" fillId="0" borderId="1" xfId="0" applyNumberFormat="1" applyFont="1" applyBorder="1" applyAlignment="1">
      <alignment vertical="center" textRotation="90"/>
    </xf>
    <xf numFmtId="0" fontId="7" fillId="0" borderId="1" xfId="0" applyFont="1" applyBorder="1" applyAlignment="1">
      <alignment vertical="center" textRotation="90"/>
    </xf>
    <xf numFmtId="4" fontId="21" fillId="0" borderId="1" xfId="0" applyNumberFormat="1" applyFont="1" applyBorder="1" applyAlignment="1">
      <alignment vertical="center" textRotation="90"/>
    </xf>
    <xf numFmtId="4" fontId="7" fillId="2" borderId="1" xfId="0" applyNumberFormat="1" applyFont="1" applyFill="1" applyBorder="1" applyAlignment="1">
      <alignment vertical="center" textRotation="90"/>
    </xf>
    <xf numFmtId="4" fontId="21" fillId="2" borderId="1" xfId="0" applyNumberFormat="1" applyFont="1" applyFill="1" applyBorder="1" applyAlignment="1">
      <alignment vertical="center" textRotation="90"/>
    </xf>
    <xf numFmtId="4" fontId="22" fillId="3" borderId="1" xfId="0" applyNumberFormat="1" applyFont="1" applyFill="1" applyBorder="1" applyAlignment="1">
      <alignment textRotation="90"/>
    </xf>
    <xf numFmtId="4" fontId="22" fillId="3" borderId="1" xfId="0" applyNumberFormat="1" applyFont="1" applyFill="1" applyBorder="1" applyAlignment="1">
      <alignment vertical="center" textRotation="90"/>
    </xf>
    <xf numFmtId="4" fontId="6" fillId="2" borderId="1" xfId="0" applyNumberFormat="1" applyFont="1" applyFill="1" applyBorder="1" applyAlignment="1">
      <alignment horizontal="center" textRotation="90"/>
    </xf>
    <xf numFmtId="4" fontId="22" fillId="3" borderId="1" xfId="0" applyNumberFormat="1" applyFont="1" applyFill="1" applyBorder="1" applyAlignment="1">
      <alignment horizontal="right" textRotation="90"/>
    </xf>
    <xf numFmtId="4" fontId="19" fillId="2" borderId="0" xfId="0" applyNumberFormat="1" applyFont="1" applyFill="1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textRotation="90"/>
    </xf>
    <xf numFmtId="0" fontId="9" fillId="2" borderId="1" xfId="0" applyFont="1" applyFill="1" applyBorder="1" applyAlignment="1"/>
    <xf numFmtId="0" fontId="4" fillId="2" borderId="1" xfId="0" applyFont="1" applyFill="1" applyBorder="1" applyAlignment="1">
      <alignment horizontal="center" textRotation="255"/>
    </xf>
    <xf numFmtId="165" fontId="8" fillId="2" borderId="0" xfId="0" applyNumberFormat="1" applyFont="1" applyFill="1" applyBorder="1"/>
    <xf numFmtId="167" fontId="0" fillId="2" borderId="0" xfId="0" applyNumberFormat="1" applyFill="1"/>
    <xf numFmtId="4" fontId="0" fillId="2" borderId="0" xfId="0" applyNumberFormat="1" applyFill="1"/>
    <xf numFmtId="165" fontId="3" fillId="2" borderId="0" xfId="0" applyNumberFormat="1" applyFont="1" applyFill="1" applyBorder="1" applyAlignment="1">
      <alignment horizontal="right" wrapText="1"/>
    </xf>
    <xf numFmtId="166" fontId="3" fillId="2" borderId="0" xfId="0" applyNumberFormat="1" applyFont="1" applyFill="1" applyBorder="1" applyAlignment="1">
      <alignment horizontal="right" wrapText="1"/>
    </xf>
    <xf numFmtId="165" fontId="3" fillId="2" borderId="0" xfId="0" applyNumberFormat="1" applyFont="1" applyFill="1" applyBorder="1"/>
    <xf numFmtId="165" fontId="8" fillId="2" borderId="0" xfId="0" applyNumberFormat="1" applyFont="1" applyFill="1" applyBorder="1" applyAlignment="1"/>
    <xf numFmtId="166" fontId="23" fillId="2" borderId="0" xfId="0" applyNumberFormat="1" applyFont="1" applyFill="1"/>
    <xf numFmtId="0" fontId="23" fillId="0" borderId="0" xfId="0" applyFont="1"/>
    <xf numFmtId="0" fontId="23" fillId="2" borderId="0" xfId="0" applyFont="1" applyFill="1"/>
    <xf numFmtId="167" fontId="23" fillId="2" borderId="0" xfId="0" applyNumberFormat="1" applyFont="1" applyFill="1"/>
    <xf numFmtId="166" fontId="23" fillId="0" borderId="0" xfId="0" applyNumberFormat="1" applyFont="1"/>
    <xf numFmtId="0" fontId="0" fillId="0" borderId="0" xfId="0" applyAlignment="1">
      <alignment horizontal="left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textRotation="90"/>
    </xf>
    <xf numFmtId="0" fontId="11" fillId="0" borderId="4" xfId="0" applyFont="1" applyBorder="1" applyAlignment="1">
      <alignment horizontal="center" textRotation="90"/>
    </xf>
    <xf numFmtId="0" fontId="5" fillId="0" borderId="2" xfId="0" applyFont="1" applyBorder="1" applyAlignment="1">
      <alignment horizontal="center" textRotation="90"/>
    </xf>
    <xf numFmtId="0" fontId="5" fillId="0" borderId="4" xfId="0" applyFont="1" applyBorder="1" applyAlignment="1">
      <alignment horizontal="center" textRotation="90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4" fontId="18" fillId="0" borderId="5" xfId="0" applyNumberFormat="1" applyFont="1" applyBorder="1" applyAlignment="1">
      <alignment horizontal="center" textRotation="90"/>
    </xf>
    <xf numFmtId="4" fontId="18" fillId="0" borderId="6" xfId="0" applyNumberFormat="1" applyFont="1" applyBorder="1" applyAlignment="1">
      <alignment horizontal="center" textRotation="90"/>
    </xf>
    <xf numFmtId="4" fontId="18" fillId="0" borderId="7" xfId="0" applyNumberFormat="1" applyFont="1" applyBorder="1" applyAlignment="1">
      <alignment horizontal="center" textRotation="90"/>
    </xf>
    <xf numFmtId="0" fontId="13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5" fillId="0" borderId="0" xfId="0" applyFont="1" applyAlignment="1">
      <alignment horizontal="right" vertical="top" wrapText="1"/>
    </xf>
    <xf numFmtId="4" fontId="7" fillId="3" borderId="5" xfId="0" applyNumberFormat="1" applyFont="1" applyFill="1" applyBorder="1" applyAlignment="1">
      <alignment horizontal="center" textRotation="90"/>
    </xf>
    <xf numFmtId="4" fontId="7" fillId="3" borderId="6" xfId="0" applyNumberFormat="1" applyFont="1" applyFill="1" applyBorder="1" applyAlignment="1">
      <alignment horizontal="center" textRotation="90"/>
    </xf>
    <xf numFmtId="4" fontId="7" fillId="3" borderId="7" xfId="0" applyNumberFormat="1" applyFont="1" applyFill="1" applyBorder="1" applyAlignment="1">
      <alignment horizontal="center" textRotation="90"/>
    </xf>
    <xf numFmtId="4" fontId="7" fillId="3" borderId="5" xfId="0" applyNumberFormat="1" applyFont="1" applyFill="1" applyBorder="1" applyAlignment="1">
      <alignment horizontal="center" textRotation="90" wrapText="1"/>
    </xf>
    <xf numFmtId="4" fontId="7" fillId="3" borderId="6" xfId="0" applyNumberFormat="1" applyFont="1" applyFill="1" applyBorder="1" applyAlignment="1">
      <alignment horizontal="center" textRotation="90" wrapText="1"/>
    </xf>
    <xf numFmtId="4" fontId="7" fillId="3" borderId="7" xfId="0" applyNumberFormat="1" applyFont="1" applyFill="1" applyBorder="1" applyAlignment="1">
      <alignment horizontal="center" textRotation="90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textRotation="90" wrapText="1"/>
    </xf>
    <xf numFmtId="0" fontId="16" fillId="0" borderId="14" xfId="0" applyFont="1" applyBorder="1" applyAlignment="1">
      <alignment horizontal="center" textRotation="90" wrapText="1"/>
    </xf>
    <xf numFmtId="0" fontId="16" fillId="0" borderId="11" xfId="0" applyFont="1" applyBorder="1" applyAlignment="1">
      <alignment horizontal="center" textRotation="90" wrapText="1"/>
    </xf>
    <xf numFmtId="0" fontId="16" fillId="0" borderId="8" xfId="0" applyFont="1" applyBorder="1" applyAlignment="1">
      <alignment horizontal="center" textRotation="90" wrapText="1"/>
    </xf>
    <xf numFmtId="0" fontId="16" fillId="0" borderId="0" xfId="0" applyFont="1" applyBorder="1" applyAlignment="1">
      <alignment horizontal="center" textRotation="90" wrapText="1"/>
    </xf>
    <xf numFmtId="0" fontId="16" fillId="0" borderId="12" xfId="0" applyFont="1" applyBorder="1" applyAlignment="1">
      <alignment horizontal="center" textRotation="90" wrapText="1"/>
    </xf>
    <xf numFmtId="0" fontId="16" fillId="0" borderId="10" xfId="0" applyFont="1" applyBorder="1" applyAlignment="1">
      <alignment horizontal="center" textRotation="90" wrapText="1"/>
    </xf>
    <xf numFmtId="0" fontId="16" fillId="0" borderId="15" xfId="0" applyFont="1" applyBorder="1" applyAlignment="1">
      <alignment horizontal="center" textRotation="90" wrapText="1"/>
    </xf>
    <xf numFmtId="0" fontId="16" fillId="0" borderId="13" xfId="0" applyFont="1" applyBorder="1" applyAlignment="1">
      <alignment horizontal="center" textRotation="90" wrapText="1"/>
    </xf>
    <xf numFmtId="0" fontId="5" fillId="2" borderId="2" xfId="0" applyFont="1" applyFill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20" fillId="2" borderId="5" xfId="0" applyFont="1" applyFill="1" applyBorder="1" applyAlignment="1">
      <alignment vertical="center"/>
    </xf>
    <xf numFmtId="0" fontId="20" fillId="2" borderId="6" xfId="0" applyFont="1" applyFill="1" applyBorder="1" applyAlignment="1">
      <alignment vertical="center"/>
    </xf>
    <xf numFmtId="0" fontId="20" fillId="2" borderId="7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99FF66"/>
      <color rgb="FF66FFFF"/>
      <color rgb="FF0099FF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9"/>
  <sheetViews>
    <sheetView tabSelected="1" workbookViewId="0">
      <selection activeCell="AI4" sqref="AI4:BA4"/>
    </sheetView>
  </sheetViews>
  <sheetFormatPr defaultRowHeight="15" x14ac:dyDescent="0.25"/>
  <cols>
    <col min="1" max="1" width="2.140625" customWidth="1"/>
    <col min="2" max="2" width="4.5703125" customWidth="1"/>
    <col min="3" max="3" width="4" customWidth="1"/>
    <col min="4" max="4" width="5.5703125" customWidth="1"/>
    <col min="5" max="5" width="3.85546875" customWidth="1"/>
    <col min="6" max="6" width="3.7109375" customWidth="1"/>
    <col min="7" max="7" width="4" customWidth="1"/>
    <col min="8" max="8" width="2.85546875" hidden="1" customWidth="1"/>
    <col min="9" max="9" width="2.7109375" customWidth="1"/>
    <col min="10" max="10" width="3.140625" customWidth="1"/>
    <col min="11" max="12" width="2.5703125" customWidth="1"/>
    <col min="13" max="13" width="2.7109375" customWidth="1"/>
    <col min="14" max="15" width="2.5703125" customWidth="1"/>
    <col min="16" max="16" width="2.85546875" customWidth="1"/>
    <col min="17" max="17" width="2.7109375" customWidth="1"/>
    <col min="18" max="20" width="2.5703125" customWidth="1"/>
    <col min="21" max="21" width="2.7109375" customWidth="1"/>
    <col min="22" max="22" width="2.140625" hidden="1" customWidth="1"/>
    <col min="23" max="23" width="2.7109375" customWidth="1"/>
    <col min="24" max="24" width="2.85546875" customWidth="1"/>
    <col min="25" max="25" width="2.42578125" customWidth="1"/>
    <col min="26" max="26" width="2.5703125" customWidth="1"/>
    <col min="27" max="28" width="2.42578125" customWidth="1"/>
    <col min="29" max="29" width="2.7109375" customWidth="1"/>
    <col min="30" max="30" width="2.5703125" customWidth="1"/>
    <col min="31" max="32" width="2.7109375" customWidth="1"/>
    <col min="33" max="34" width="2.42578125" customWidth="1"/>
    <col min="35" max="36" width="2.7109375" customWidth="1"/>
    <col min="37" max="37" width="1.28515625" customWidth="1"/>
    <col min="38" max="38" width="4.42578125" customWidth="1"/>
    <col min="39" max="39" width="0.28515625" customWidth="1"/>
    <col min="40" max="40" width="0.140625" hidden="1" customWidth="1"/>
    <col min="41" max="41" width="2.7109375" customWidth="1"/>
    <col min="42" max="42" width="3" customWidth="1"/>
    <col min="43" max="43" width="3.28515625" customWidth="1"/>
    <col min="44" max="44" width="2.85546875" customWidth="1"/>
    <col min="45" max="45" width="3" customWidth="1"/>
    <col min="46" max="46" width="2.42578125" customWidth="1"/>
    <col min="47" max="47" width="2.85546875" customWidth="1"/>
    <col min="48" max="48" width="3.42578125" customWidth="1"/>
    <col min="49" max="50" width="2.85546875" customWidth="1"/>
    <col min="51" max="51" width="3" customWidth="1"/>
    <col min="52" max="52" width="3.140625" customWidth="1"/>
    <col min="53" max="53" width="2.7109375" customWidth="1"/>
    <col min="54" max="54" width="15" customWidth="1"/>
    <col min="55" max="55" width="12.28515625" customWidth="1"/>
    <col min="56" max="56" width="12" customWidth="1"/>
  </cols>
  <sheetData>
    <row r="1" spans="1:58" ht="4.5" customHeight="1" x14ac:dyDescent="0.25">
      <c r="AS1" s="66"/>
      <c r="AT1" s="66"/>
      <c r="AU1" s="66"/>
      <c r="AV1" s="66"/>
      <c r="AW1" s="66"/>
      <c r="AX1" s="66"/>
      <c r="AY1" s="66"/>
      <c r="AZ1" s="66"/>
      <c r="BA1" s="66"/>
    </row>
    <row r="2" spans="1:58" ht="14.25" hidden="1" customHeight="1" x14ac:dyDescent="0.25"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</row>
    <row r="3" spans="1:58" ht="27.75" hidden="1" customHeight="1" x14ac:dyDescent="0.25"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</row>
    <row r="4" spans="1:58" ht="26.25" customHeight="1" x14ac:dyDescent="0.25">
      <c r="R4" s="76"/>
      <c r="S4" s="77"/>
      <c r="T4" s="77"/>
      <c r="U4" s="77"/>
      <c r="V4" s="77"/>
      <c r="W4" s="77"/>
      <c r="X4" s="77"/>
      <c r="AI4" s="93" t="s">
        <v>49</v>
      </c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</row>
    <row r="5" spans="1:58" ht="30.75" customHeight="1" x14ac:dyDescent="0.25">
      <c r="A5" s="88" t="s">
        <v>43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</row>
    <row r="6" spans="1:58" ht="1.5" customHeight="1" x14ac:dyDescent="0.25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</row>
    <row r="7" spans="1:58" ht="0.75" customHeight="1" x14ac:dyDescent="0.25"/>
    <row r="8" spans="1:58" ht="15" customHeight="1" x14ac:dyDescent="0.25">
      <c r="A8" s="89" t="s">
        <v>0</v>
      </c>
      <c r="B8" s="92" t="s">
        <v>1</v>
      </c>
      <c r="C8" s="68" t="s">
        <v>2</v>
      </c>
      <c r="D8" s="68" t="s">
        <v>48</v>
      </c>
      <c r="E8" s="68" t="s">
        <v>3</v>
      </c>
      <c r="F8" s="68" t="s">
        <v>4</v>
      </c>
      <c r="G8" s="68" t="s">
        <v>5</v>
      </c>
      <c r="H8" s="73" t="s">
        <v>11</v>
      </c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5"/>
      <c r="V8" s="73" t="s">
        <v>25</v>
      </c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5"/>
      <c r="AJ8" s="103" t="s">
        <v>37</v>
      </c>
      <c r="AK8" s="104"/>
      <c r="AL8" s="104"/>
      <c r="AM8" s="105"/>
      <c r="AN8" s="73" t="s">
        <v>26</v>
      </c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5"/>
    </row>
    <row r="9" spans="1:58" ht="15" customHeight="1" x14ac:dyDescent="0.25">
      <c r="A9" s="90"/>
      <c r="B9" s="92"/>
      <c r="C9" s="68"/>
      <c r="D9" s="68"/>
      <c r="E9" s="68"/>
      <c r="F9" s="68"/>
      <c r="G9" s="68"/>
      <c r="H9" s="71" t="s">
        <v>12</v>
      </c>
      <c r="I9" s="71" t="s">
        <v>12</v>
      </c>
      <c r="J9" s="71" t="s">
        <v>13</v>
      </c>
      <c r="K9" s="71" t="s">
        <v>14</v>
      </c>
      <c r="L9" s="71" t="s">
        <v>15</v>
      </c>
      <c r="M9" s="71" t="s">
        <v>16</v>
      </c>
      <c r="N9" s="71" t="s">
        <v>17</v>
      </c>
      <c r="O9" s="71" t="s">
        <v>18</v>
      </c>
      <c r="P9" s="71" t="s">
        <v>19</v>
      </c>
      <c r="Q9" s="71" t="s">
        <v>20</v>
      </c>
      <c r="R9" s="71" t="s">
        <v>21</v>
      </c>
      <c r="S9" s="71" t="s">
        <v>22</v>
      </c>
      <c r="T9" s="71" t="s">
        <v>23</v>
      </c>
      <c r="U9" s="69" t="s">
        <v>24</v>
      </c>
      <c r="V9" s="71" t="s">
        <v>12</v>
      </c>
      <c r="W9" s="71" t="s">
        <v>12</v>
      </c>
      <c r="X9" s="71" t="s">
        <v>13</v>
      </c>
      <c r="Y9" s="71" t="s">
        <v>14</v>
      </c>
      <c r="Z9" s="71" t="s">
        <v>15</v>
      </c>
      <c r="AA9" s="71" t="s">
        <v>16</v>
      </c>
      <c r="AB9" s="71" t="s">
        <v>17</v>
      </c>
      <c r="AC9" s="71" t="s">
        <v>18</v>
      </c>
      <c r="AD9" s="71" t="s">
        <v>19</v>
      </c>
      <c r="AE9" s="71" t="s">
        <v>20</v>
      </c>
      <c r="AF9" s="71" t="s">
        <v>21</v>
      </c>
      <c r="AG9" s="71" t="s">
        <v>22</v>
      </c>
      <c r="AH9" s="71" t="s">
        <v>23</v>
      </c>
      <c r="AI9" s="69" t="s">
        <v>24</v>
      </c>
      <c r="AJ9" s="106"/>
      <c r="AK9" s="107"/>
      <c r="AL9" s="107"/>
      <c r="AM9" s="108"/>
      <c r="AN9" s="71" t="s">
        <v>12</v>
      </c>
      <c r="AO9" s="71" t="s">
        <v>12</v>
      </c>
      <c r="AP9" s="71" t="s">
        <v>13</v>
      </c>
      <c r="AQ9" s="71" t="s">
        <v>14</v>
      </c>
      <c r="AR9" s="71" t="s">
        <v>15</v>
      </c>
      <c r="AS9" s="71" t="s">
        <v>16</v>
      </c>
      <c r="AT9" s="71" t="s">
        <v>17</v>
      </c>
      <c r="AU9" s="71" t="s">
        <v>18</v>
      </c>
      <c r="AV9" s="71" t="s">
        <v>19</v>
      </c>
      <c r="AW9" s="71" t="s">
        <v>20</v>
      </c>
      <c r="AX9" s="71" t="s">
        <v>21</v>
      </c>
      <c r="AY9" s="71" t="s">
        <v>22</v>
      </c>
      <c r="AZ9" s="71" t="s">
        <v>23</v>
      </c>
      <c r="BA9" s="69" t="s">
        <v>24</v>
      </c>
    </row>
    <row r="10" spans="1:58" ht="24.75" customHeight="1" x14ac:dyDescent="0.25">
      <c r="A10" s="91"/>
      <c r="B10" s="92"/>
      <c r="C10" s="68"/>
      <c r="D10" s="68"/>
      <c r="E10" s="68"/>
      <c r="F10" s="68"/>
      <c r="G10" s="68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0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0"/>
      <c r="AJ10" s="109"/>
      <c r="AK10" s="110"/>
      <c r="AL10" s="110"/>
      <c r="AM10" s="111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0"/>
      <c r="BB10" s="47"/>
    </row>
    <row r="11" spans="1:58" x14ac:dyDescent="0.25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2">
        <v>7</v>
      </c>
      <c r="H11" s="3">
        <v>8</v>
      </c>
      <c r="I11" s="3">
        <v>8</v>
      </c>
      <c r="J11" s="3">
        <v>9</v>
      </c>
      <c r="K11" s="3">
        <v>8</v>
      </c>
      <c r="L11" s="3">
        <v>9</v>
      </c>
      <c r="M11" s="3">
        <v>10</v>
      </c>
      <c r="N11" s="3">
        <v>11</v>
      </c>
      <c r="O11" s="3">
        <v>12</v>
      </c>
      <c r="P11" s="3">
        <v>13</v>
      </c>
      <c r="Q11" s="3">
        <v>14</v>
      </c>
      <c r="R11" s="3">
        <v>15</v>
      </c>
      <c r="S11" s="3">
        <v>16</v>
      </c>
      <c r="T11" s="3">
        <v>17</v>
      </c>
      <c r="U11" s="3">
        <v>18</v>
      </c>
      <c r="V11" s="3"/>
      <c r="W11" s="3">
        <v>19</v>
      </c>
      <c r="X11" s="3">
        <v>20</v>
      </c>
      <c r="Y11" s="3">
        <v>21</v>
      </c>
      <c r="Z11" s="3">
        <v>22</v>
      </c>
      <c r="AA11" s="3">
        <v>23</v>
      </c>
      <c r="AB11" s="3">
        <v>24</v>
      </c>
      <c r="AC11" s="3">
        <v>25</v>
      </c>
      <c r="AD11" s="3">
        <v>26</v>
      </c>
      <c r="AE11" s="3">
        <v>27</v>
      </c>
      <c r="AF11" s="3">
        <v>28</v>
      </c>
      <c r="AG11" s="3">
        <v>29</v>
      </c>
      <c r="AH11" s="3">
        <v>30</v>
      </c>
      <c r="AI11" s="3">
        <v>31</v>
      </c>
      <c r="AJ11" s="100">
        <v>32</v>
      </c>
      <c r="AK11" s="101"/>
      <c r="AL11" s="101"/>
      <c r="AM11" s="102"/>
      <c r="AN11" s="3"/>
      <c r="AO11" s="3">
        <v>33</v>
      </c>
      <c r="AP11" s="3">
        <v>34</v>
      </c>
      <c r="AQ11" s="3">
        <v>35</v>
      </c>
      <c r="AR11" s="3">
        <v>36</v>
      </c>
      <c r="AS11" s="4">
        <v>37</v>
      </c>
      <c r="AT11" s="4">
        <v>38</v>
      </c>
      <c r="AU11" s="4">
        <v>39</v>
      </c>
      <c r="AV11" s="4">
        <v>40</v>
      </c>
      <c r="AW11" s="4">
        <v>41</v>
      </c>
      <c r="AX11" s="4">
        <v>42</v>
      </c>
      <c r="AY11" s="4">
        <v>43</v>
      </c>
      <c r="AZ11" s="4">
        <v>44</v>
      </c>
      <c r="BA11" s="4">
        <v>45</v>
      </c>
    </row>
    <row r="12" spans="1:58" ht="55.5" customHeight="1" x14ac:dyDescent="0.25">
      <c r="A12" s="49">
        <v>1</v>
      </c>
      <c r="B12" s="21" t="s">
        <v>6</v>
      </c>
      <c r="C12" s="26" t="s">
        <v>7</v>
      </c>
      <c r="D12" s="50" t="s">
        <v>33</v>
      </c>
      <c r="E12" s="22">
        <v>60</v>
      </c>
      <c r="F12" s="7">
        <v>26</v>
      </c>
      <c r="G12" s="6">
        <v>12.35</v>
      </c>
      <c r="H12" s="1"/>
      <c r="I12" s="9">
        <f t="shared" ref="I12:I20" si="0">F12*31</f>
        <v>806</v>
      </c>
      <c r="J12" s="9">
        <f t="shared" ref="J12:J20" si="1">F12*28</f>
        <v>728</v>
      </c>
      <c r="K12" s="9">
        <f>F12*31</f>
        <v>806</v>
      </c>
      <c r="L12" s="9">
        <f t="shared" ref="L12:L20" si="2">F12*30</f>
        <v>780</v>
      </c>
      <c r="M12" s="10">
        <f t="shared" ref="M12:M17" si="3">I12</f>
        <v>806</v>
      </c>
      <c r="N12" s="10">
        <f t="shared" ref="N12:O17" si="4">L12</f>
        <v>780</v>
      </c>
      <c r="O12" s="10">
        <f t="shared" si="4"/>
        <v>806</v>
      </c>
      <c r="P12" s="10">
        <f t="shared" ref="P12:P17" si="5">O12</f>
        <v>806</v>
      </c>
      <c r="Q12" s="10">
        <f t="shared" ref="Q12:Q17" si="6">N12</f>
        <v>780</v>
      </c>
      <c r="R12" s="10">
        <f t="shared" ref="R12:T17" si="7">P12</f>
        <v>806</v>
      </c>
      <c r="S12" s="10">
        <f t="shared" si="7"/>
        <v>780</v>
      </c>
      <c r="T12" s="10">
        <f t="shared" si="7"/>
        <v>806</v>
      </c>
      <c r="U12" s="11">
        <f>I12+J12+K12+L12+M12+N12+O12+P12+Q12+R12+S12+T12</f>
        <v>9490</v>
      </c>
      <c r="V12" s="10"/>
      <c r="W12" s="10">
        <f t="shared" ref="W12:W19" si="8">I12*G12</f>
        <v>9954.1</v>
      </c>
      <c r="X12" s="12">
        <f t="shared" ref="X12:X20" si="9">J12*G12</f>
        <v>8990.7999999999993</v>
      </c>
      <c r="Y12" s="10">
        <f>W12</f>
        <v>9954.1</v>
      </c>
      <c r="Z12" s="13">
        <f t="shared" ref="Z12:Z18" si="10">L12*G12</f>
        <v>9633</v>
      </c>
      <c r="AA12" s="13">
        <f t="shared" ref="AA12:AC17" si="11">Y12</f>
        <v>9954.1</v>
      </c>
      <c r="AB12" s="13">
        <f t="shared" si="11"/>
        <v>9633</v>
      </c>
      <c r="AC12" s="13">
        <f t="shared" si="11"/>
        <v>9954.1</v>
      </c>
      <c r="AD12" s="13">
        <f t="shared" ref="AD12:AE17" si="12">AA12</f>
        <v>9954.1</v>
      </c>
      <c r="AE12" s="13">
        <f t="shared" si="12"/>
        <v>9633</v>
      </c>
      <c r="AF12" s="13">
        <f t="shared" ref="AF12:AH16" si="13">AD12</f>
        <v>9954.1</v>
      </c>
      <c r="AG12" s="13">
        <f t="shared" si="13"/>
        <v>9633</v>
      </c>
      <c r="AH12" s="13">
        <f t="shared" si="13"/>
        <v>9954.1</v>
      </c>
      <c r="AI12" s="14">
        <f>SUM(W12:AH12)</f>
        <v>117201.50000000001</v>
      </c>
      <c r="AJ12" s="94">
        <v>28.17</v>
      </c>
      <c r="AK12" s="95"/>
      <c r="AL12" s="95"/>
      <c r="AM12" s="96"/>
      <c r="AN12" s="9"/>
      <c r="AO12" s="9">
        <f>W12*AJ12</f>
        <v>280406.99700000003</v>
      </c>
      <c r="AP12" s="9">
        <f>AJ12*X12</f>
        <v>253270.83599999998</v>
      </c>
      <c r="AQ12" s="9">
        <f>AJ12*Y12</f>
        <v>280406.99700000003</v>
      </c>
      <c r="AR12" s="9">
        <f t="shared" ref="AR12:AR19" si="14">Z12*AJ12</f>
        <v>271361.61000000004</v>
      </c>
      <c r="AS12" s="9">
        <f>AA12*AJ12</f>
        <v>280406.99700000003</v>
      </c>
      <c r="AT12" s="9">
        <f t="shared" ref="AT12:AT19" si="15">AB12*AJ12</f>
        <v>271361.61000000004</v>
      </c>
      <c r="AU12" s="9">
        <f>AC12*AJ12</f>
        <v>280406.99700000003</v>
      </c>
      <c r="AV12" s="9">
        <f>AD12*AJ12</f>
        <v>280406.99700000003</v>
      </c>
      <c r="AW12" s="9">
        <f t="shared" ref="AW12:AW21" si="16">AE12*AJ12</f>
        <v>271361.61000000004</v>
      </c>
      <c r="AX12" s="9">
        <f t="shared" ref="AX12:AX20" si="17">AF12*AJ12</f>
        <v>280406.99700000003</v>
      </c>
      <c r="AY12" s="9">
        <f t="shared" ref="AY12:AY20" si="18">AG12*AJ12</f>
        <v>271361.61000000004</v>
      </c>
      <c r="AZ12" s="9">
        <f t="shared" ref="AZ12:AZ20" si="19">AH12*AJ12</f>
        <v>280406.99700000003</v>
      </c>
      <c r="BA12" s="43">
        <v>3301566.28</v>
      </c>
      <c r="BB12" s="53"/>
      <c r="BC12" s="54"/>
      <c r="BD12" s="55"/>
    </row>
    <row r="13" spans="1:58" ht="54.75" customHeight="1" x14ac:dyDescent="0.25">
      <c r="A13" s="49">
        <v>2</v>
      </c>
      <c r="B13" s="21" t="s">
        <v>8</v>
      </c>
      <c r="C13" s="26" t="s">
        <v>7</v>
      </c>
      <c r="D13" s="50" t="s">
        <v>33</v>
      </c>
      <c r="E13" s="22">
        <v>60</v>
      </c>
      <c r="F13" s="7">
        <v>26</v>
      </c>
      <c r="G13" s="6">
        <v>12.35</v>
      </c>
      <c r="H13" s="1"/>
      <c r="I13" s="9">
        <f t="shared" si="0"/>
        <v>806</v>
      </c>
      <c r="J13" s="9">
        <f t="shared" si="1"/>
        <v>728</v>
      </c>
      <c r="K13" s="9">
        <f>F13*31</f>
        <v>806</v>
      </c>
      <c r="L13" s="9">
        <f t="shared" si="2"/>
        <v>780</v>
      </c>
      <c r="M13" s="10">
        <f t="shared" si="3"/>
        <v>806</v>
      </c>
      <c r="N13" s="10">
        <f t="shared" si="4"/>
        <v>780</v>
      </c>
      <c r="O13" s="10">
        <f t="shared" si="4"/>
        <v>806</v>
      </c>
      <c r="P13" s="10">
        <f t="shared" si="5"/>
        <v>806</v>
      </c>
      <c r="Q13" s="10">
        <f t="shared" si="6"/>
        <v>780</v>
      </c>
      <c r="R13" s="10">
        <f t="shared" si="7"/>
        <v>806</v>
      </c>
      <c r="S13" s="10">
        <f t="shared" si="7"/>
        <v>780</v>
      </c>
      <c r="T13" s="10">
        <f t="shared" si="7"/>
        <v>806</v>
      </c>
      <c r="U13" s="11">
        <f>SUM(I13:T13)</f>
        <v>9490</v>
      </c>
      <c r="V13" s="10"/>
      <c r="W13" s="10">
        <f t="shared" si="8"/>
        <v>9954.1</v>
      </c>
      <c r="X13" s="12">
        <f t="shared" si="9"/>
        <v>8990.7999999999993</v>
      </c>
      <c r="Y13" s="10">
        <f>W13</f>
        <v>9954.1</v>
      </c>
      <c r="Z13" s="13">
        <f t="shared" si="10"/>
        <v>9633</v>
      </c>
      <c r="AA13" s="13">
        <f t="shared" si="11"/>
        <v>9954.1</v>
      </c>
      <c r="AB13" s="13">
        <f t="shared" si="11"/>
        <v>9633</v>
      </c>
      <c r="AC13" s="13">
        <f t="shared" si="11"/>
        <v>9954.1</v>
      </c>
      <c r="AD13" s="13">
        <f t="shared" si="12"/>
        <v>9954.1</v>
      </c>
      <c r="AE13" s="13">
        <f t="shared" si="12"/>
        <v>9633</v>
      </c>
      <c r="AF13" s="13">
        <f t="shared" si="13"/>
        <v>9954.1</v>
      </c>
      <c r="AG13" s="13">
        <f t="shared" si="13"/>
        <v>9633</v>
      </c>
      <c r="AH13" s="13">
        <f t="shared" si="13"/>
        <v>9954.1</v>
      </c>
      <c r="AI13" s="14">
        <f>SUM(W13:AH13)</f>
        <v>117201.50000000001</v>
      </c>
      <c r="AJ13" s="94">
        <v>28.17</v>
      </c>
      <c r="AK13" s="95"/>
      <c r="AL13" s="95"/>
      <c r="AM13" s="96"/>
      <c r="AN13" s="9"/>
      <c r="AO13" s="9">
        <f>AJ13*W13</f>
        <v>280406.99700000003</v>
      </c>
      <c r="AP13" s="9">
        <f>AJ13*X13</f>
        <v>253270.83599999998</v>
      </c>
      <c r="AQ13" s="9">
        <f>AS14</f>
        <v>280406.99700000003</v>
      </c>
      <c r="AR13" s="9">
        <f t="shared" si="14"/>
        <v>271361.61000000004</v>
      </c>
      <c r="AS13" s="9">
        <f>AA13*AJ13</f>
        <v>280406.99700000003</v>
      </c>
      <c r="AT13" s="9">
        <f t="shared" si="15"/>
        <v>271361.61000000004</v>
      </c>
      <c r="AU13" s="9">
        <f>AC13*AJ13</f>
        <v>280406.99700000003</v>
      </c>
      <c r="AV13" s="9">
        <f>AD13*AJ13</f>
        <v>280406.99700000003</v>
      </c>
      <c r="AW13" s="9">
        <f t="shared" si="16"/>
        <v>271361.61000000004</v>
      </c>
      <c r="AX13" s="9">
        <f t="shared" si="17"/>
        <v>280406.99700000003</v>
      </c>
      <c r="AY13" s="9">
        <f t="shared" si="18"/>
        <v>271361.61000000004</v>
      </c>
      <c r="AZ13" s="9">
        <f t="shared" si="19"/>
        <v>280406.99700000003</v>
      </c>
      <c r="BA13" s="43">
        <f>BA12</f>
        <v>3301566.28</v>
      </c>
      <c r="BB13" s="53"/>
      <c r="BC13" s="31"/>
      <c r="BD13" s="48"/>
    </row>
    <row r="14" spans="1:58" ht="56.25" customHeight="1" x14ac:dyDescent="0.25">
      <c r="A14" s="49">
        <v>3</v>
      </c>
      <c r="B14" s="21" t="s">
        <v>9</v>
      </c>
      <c r="C14" s="26" t="s">
        <v>7</v>
      </c>
      <c r="D14" s="50" t="s">
        <v>33</v>
      </c>
      <c r="E14" s="22">
        <v>60</v>
      </c>
      <c r="F14" s="7">
        <v>26</v>
      </c>
      <c r="G14" s="6">
        <v>12.35</v>
      </c>
      <c r="H14" s="1"/>
      <c r="I14" s="9">
        <f t="shared" si="0"/>
        <v>806</v>
      </c>
      <c r="J14" s="9">
        <f t="shared" si="1"/>
        <v>728</v>
      </c>
      <c r="K14" s="9">
        <f>F14*31</f>
        <v>806</v>
      </c>
      <c r="L14" s="9">
        <f t="shared" si="2"/>
        <v>780</v>
      </c>
      <c r="M14" s="10">
        <f t="shared" si="3"/>
        <v>806</v>
      </c>
      <c r="N14" s="10">
        <f t="shared" si="4"/>
        <v>780</v>
      </c>
      <c r="O14" s="10">
        <f t="shared" si="4"/>
        <v>806</v>
      </c>
      <c r="P14" s="10">
        <f t="shared" si="5"/>
        <v>806</v>
      </c>
      <c r="Q14" s="10">
        <f t="shared" si="6"/>
        <v>780</v>
      </c>
      <c r="R14" s="10">
        <f t="shared" si="7"/>
        <v>806</v>
      </c>
      <c r="S14" s="10">
        <f t="shared" si="7"/>
        <v>780</v>
      </c>
      <c r="T14" s="10">
        <f t="shared" si="7"/>
        <v>806</v>
      </c>
      <c r="U14" s="11">
        <f>SUM(I14:T14)</f>
        <v>9490</v>
      </c>
      <c r="V14" s="10"/>
      <c r="W14" s="10">
        <f t="shared" si="8"/>
        <v>9954.1</v>
      </c>
      <c r="X14" s="12">
        <f t="shared" si="9"/>
        <v>8990.7999999999993</v>
      </c>
      <c r="Y14" s="10">
        <f>W14</f>
        <v>9954.1</v>
      </c>
      <c r="Z14" s="13">
        <f t="shared" si="10"/>
        <v>9633</v>
      </c>
      <c r="AA14" s="13">
        <f t="shared" si="11"/>
        <v>9954.1</v>
      </c>
      <c r="AB14" s="13">
        <f t="shared" si="11"/>
        <v>9633</v>
      </c>
      <c r="AC14" s="13">
        <f t="shared" si="11"/>
        <v>9954.1</v>
      </c>
      <c r="AD14" s="13">
        <f t="shared" si="12"/>
        <v>9954.1</v>
      </c>
      <c r="AE14" s="13">
        <f t="shared" si="12"/>
        <v>9633</v>
      </c>
      <c r="AF14" s="13">
        <f t="shared" si="13"/>
        <v>9954.1</v>
      </c>
      <c r="AG14" s="13">
        <f t="shared" si="13"/>
        <v>9633</v>
      </c>
      <c r="AH14" s="13">
        <f t="shared" si="13"/>
        <v>9954.1</v>
      </c>
      <c r="AI14" s="14">
        <f t="shared" ref="AI14:AI18" si="20">SUM(V14:AH14)</f>
        <v>117201.50000000001</v>
      </c>
      <c r="AJ14" s="94">
        <f>AJ13</f>
        <v>28.17</v>
      </c>
      <c r="AK14" s="95"/>
      <c r="AL14" s="95"/>
      <c r="AM14" s="96"/>
      <c r="AN14" s="9"/>
      <c r="AO14" s="9">
        <f>W14*AJ14</f>
        <v>280406.99700000003</v>
      </c>
      <c r="AP14" s="9">
        <f>AP13</f>
        <v>253270.83599999998</v>
      </c>
      <c r="AQ14" s="9">
        <f>AQ13</f>
        <v>280406.99700000003</v>
      </c>
      <c r="AR14" s="9">
        <f t="shared" si="14"/>
        <v>271361.61000000004</v>
      </c>
      <c r="AS14" s="9">
        <f>AA14*AJ14</f>
        <v>280406.99700000003</v>
      </c>
      <c r="AT14" s="9">
        <f t="shared" si="15"/>
        <v>271361.61000000004</v>
      </c>
      <c r="AU14" s="9">
        <f>AC14*AJ14</f>
        <v>280406.99700000003</v>
      </c>
      <c r="AV14" s="9">
        <f>AC14*AJ14</f>
        <v>280406.99700000003</v>
      </c>
      <c r="AW14" s="9">
        <f t="shared" si="16"/>
        <v>271361.61000000004</v>
      </c>
      <c r="AX14" s="9">
        <f t="shared" si="17"/>
        <v>280406.99700000003</v>
      </c>
      <c r="AY14" s="9">
        <f t="shared" si="18"/>
        <v>271361.61000000004</v>
      </c>
      <c r="AZ14" s="9">
        <f t="shared" si="19"/>
        <v>280406.99700000003</v>
      </c>
      <c r="BA14" s="43">
        <f>BA12</f>
        <v>3301566.28</v>
      </c>
      <c r="BB14" s="53"/>
      <c r="BC14" s="31"/>
      <c r="BD14" s="48"/>
      <c r="BF14" s="30"/>
    </row>
    <row r="15" spans="1:58" ht="57.75" customHeight="1" x14ac:dyDescent="0.25">
      <c r="A15" s="49">
        <v>4</v>
      </c>
      <c r="B15" s="21" t="s">
        <v>10</v>
      </c>
      <c r="C15" s="26" t="s">
        <v>7</v>
      </c>
      <c r="D15" s="50" t="s">
        <v>33</v>
      </c>
      <c r="E15" s="22">
        <v>60</v>
      </c>
      <c r="F15" s="7">
        <v>26</v>
      </c>
      <c r="G15" s="6">
        <v>12.35</v>
      </c>
      <c r="H15" s="1"/>
      <c r="I15" s="9">
        <f t="shared" si="0"/>
        <v>806</v>
      </c>
      <c r="J15" s="9">
        <f t="shared" si="1"/>
        <v>728</v>
      </c>
      <c r="K15" s="9">
        <f>F15*31</f>
        <v>806</v>
      </c>
      <c r="L15" s="9">
        <f t="shared" si="2"/>
        <v>780</v>
      </c>
      <c r="M15" s="10">
        <f t="shared" si="3"/>
        <v>806</v>
      </c>
      <c r="N15" s="10">
        <f t="shared" si="4"/>
        <v>780</v>
      </c>
      <c r="O15" s="10">
        <f t="shared" si="4"/>
        <v>806</v>
      </c>
      <c r="P15" s="10">
        <f t="shared" si="5"/>
        <v>806</v>
      </c>
      <c r="Q15" s="10">
        <f t="shared" si="6"/>
        <v>780</v>
      </c>
      <c r="R15" s="10">
        <f t="shared" si="7"/>
        <v>806</v>
      </c>
      <c r="S15" s="10">
        <f t="shared" si="7"/>
        <v>780</v>
      </c>
      <c r="T15" s="10">
        <f t="shared" si="7"/>
        <v>806</v>
      </c>
      <c r="U15" s="11">
        <f t="shared" ref="U15" si="21">SUM(H15:T15)</f>
        <v>9490</v>
      </c>
      <c r="V15" s="10"/>
      <c r="W15" s="10">
        <f t="shared" si="8"/>
        <v>9954.1</v>
      </c>
      <c r="X15" s="12">
        <f t="shared" si="9"/>
        <v>8990.7999999999993</v>
      </c>
      <c r="Y15" s="10">
        <f>W15</f>
        <v>9954.1</v>
      </c>
      <c r="Z15" s="13">
        <f t="shared" si="10"/>
        <v>9633</v>
      </c>
      <c r="AA15" s="13">
        <f t="shared" si="11"/>
        <v>9954.1</v>
      </c>
      <c r="AB15" s="13">
        <f t="shared" si="11"/>
        <v>9633</v>
      </c>
      <c r="AC15" s="13">
        <f t="shared" si="11"/>
        <v>9954.1</v>
      </c>
      <c r="AD15" s="13">
        <f t="shared" si="12"/>
        <v>9954.1</v>
      </c>
      <c r="AE15" s="13">
        <f t="shared" si="12"/>
        <v>9633</v>
      </c>
      <c r="AF15" s="13">
        <f t="shared" si="13"/>
        <v>9954.1</v>
      </c>
      <c r="AG15" s="13">
        <f t="shared" si="13"/>
        <v>9633</v>
      </c>
      <c r="AH15" s="13">
        <f t="shared" si="13"/>
        <v>9954.1</v>
      </c>
      <c r="AI15" s="14">
        <f>SUM(W15:AH15)</f>
        <v>117201.50000000001</v>
      </c>
      <c r="AJ15" s="94">
        <f>AJ12</f>
        <v>28.17</v>
      </c>
      <c r="AK15" s="95"/>
      <c r="AL15" s="95"/>
      <c r="AM15" s="96"/>
      <c r="AN15" s="9"/>
      <c r="AO15" s="9">
        <f>W15*AJ15</f>
        <v>280406.99700000003</v>
      </c>
      <c r="AP15" s="9">
        <f>AJ15*X15</f>
        <v>253270.83599999998</v>
      </c>
      <c r="AQ15" s="9">
        <f>AV15</f>
        <v>280406.99700000003</v>
      </c>
      <c r="AR15" s="9">
        <f t="shared" si="14"/>
        <v>271361.61000000004</v>
      </c>
      <c r="AS15" s="9">
        <f>AA15*AJ15</f>
        <v>280406.99700000003</v>
      </c>
      <c r="AT15" s="9">
        <f t="shared" si="15"/>
        <v>271361.61000000004</v>
      </c>
      <c r="AU15" s="9">
        <f>AC15*AJ15</f>
        <v>280406.99700000003</v>
      </c>
      <c r="AV15" s="9">
        <f>AC15*AJ15</f>
        <v>280406.99700000003</v>
      </c>
      <c r="AW15" s="9">
        <f t="shared" si="16"/>
        <v>271361.61000000004</v>
      </c>
      <c r="AX15" s="9">
        <f t="shared" si="17"/>
        <v>280406.99700000003</v>
      </c>
      <c r="AY15" s="9">
        <f t="shared" si="18"/>
        <v>271361.61000000004</v>
      </c>
      <c r="AZ15" s="9">
        <f t="shared" si="19"/>
        <v>280406.99700000003</v>
      </c>
      <c r="BA15" s="43">
        <f>BA12</f>
        <v>3301566.28</v>
      </c>
      <c r="BB15" s="56"/>
      <c r="BC15" s="31"/>
      <c r="BD15" s="31"/>
    </row>
    <row r="16" spans="1:58" ht="57.75" customHeight="1" x14ac:dyDescent="0.25">
      <c r="A16" s="114" t="s">
        <v>44</v>
      </c>
      <c r="B16" s="115"/>
      <c r="C16" s="115"/>
      <c r="D16" s="115"/>
      <c r="E16" s="116"/>
      <c r="F16" s="37">
        <f>SUM(F12:F15)</f>
        <v>104</v>
      </c>
      <c r="G16" s="38">
        <v>12.35</v>
      </c>
      <c r="H16" s="39"/>
      <c r="I16" s="32">
        <f>SUM(I12:I15)</f>
        <v>3224</v>
      </c>
      <c r="J16" s="32">
        <f>SUM(J12:J15)</f>
        <v>2912</v>
      </c>
      <c r="K16" s="32">
        <f>SUM(K12:K15)</f>
        <v>3224</v>
      </c>
      <c r="L16" s="32">
        <f>SUM(L12:L15)</f>
        <v>3120</v>
      </c>
      <c r="M16" s="40">
        <f t="shared" si="3"/>
        <v>3224</v>
      </c>
      <c r="N16" s="40">
        <f t="shared" si="4"/>
        <v>3120</v>
      </c>
      <c r="O16" s="40">
        <f t="shared" si="4"/>
        <v>3224</v>
      </c>
      <c r="P16" s="40">
        <f t="shared" si="5"/>
        <v>3224</v>
      </c>
      <c r="Q16" s="40">
        <f t="shared" si="6"/>
        <v>3120</v>
      </c>
      <c r="R16" s="40">
        <f t="shared" si="7"/>
        <v>3224</v>
      </c>
      <c r="S16" s="40">
        <f t="shared" si="7"/>
        <v>3120</v>
      </c>
      <c r="T16" s="40">
        <f t="shared" si="7"/>
        <v>3224</v>
      </c>
      <c r="U16" s="32">
        <f>SUM(U12:U15)</f>
        <v>37960</v>
      </c>
      <c r="V16" s="40"/>
      <c r="W16" s="40">
        <f t="shared" si="8"/>
        <v>39816.400000000001</v>
      </c>
      <c r="X16" s="41">
        <f t="shared" si="9"/>
        <v>35963.199999999997</v>
      </c>
      <c r="Y16" s="40">
        <f>W16</f>
        <v>39816.400000000001</v>
      </c>
      <c r="Z16" s="42">
        <f t="shared" si="10"/>
        <v>38532</v>
      </c>
      <c r="AA16" s="42">
        <f t="shared" si="11"/>
        <v>39816.400000000001</v>
      </c>
      <c r="AB16" s="42">
        <f t="shared" si="11"/>
        <v>38532</v>
      </c>
      <c r="AC16" s="42">
        <f t="shared" si="11"/>
        <v>39816.400000000001</v>
      </c>
      <c r="AD16" s="42">
        <f t="shared" si="12"/>
        <v>39816.400000000001</v>
      </c>
      <c r="AE16" s="42">
        <f t="shared" si="12"/>
        <v>38532</v>
      </c>
      <c r="AF16" s="42">
        <f t="shared" si="13"/>
        <v>39816.400000000001</v>
      </c>
      <c r="AG16" s="42">
        <f t="shared" si="13"/>
        <v>38532</v>
      </c>
      <c r="AH16" s="42">
        <f t="shared" si="13"/>
        <v>39816.400000000001</v>
      </c>
      <c r="AI16" s="33">
        <f>SUM(AI12:AI15)</f>
        <v>468806.00000000006</v>
      </c>
      <c r="AJ16" s="34"/>
      <c r="AK16" s="35"/>
      <c r="AL16" s="35"/>
      <c r="AM16" s="36"/>
      <c r="AN16" s="32"/>
      <c r="AO16" s="32">
        <v>1121628</v>
      </c>
      <c r="AP16" s="32">
        <v>1013083.36</v>
      </c>
      <c r="AQ16" s="32">
        <f>AO16</f>
        <v>1121628</v>
      </c>
      <c r="AR16" s="32">
        <v>1085446.44</v>
      </c>
      <c r="AS16" s="32">
        <f>AO16</f>
        <v>1121628</v>
      </c>
      <c r="AT16" s="32">
        <f>AR16</f>
        <v>1085446.44</v>
      </c>
      <c r="AU16" s="32">
        <f>AO16</f>
        <v>1121628</v>
      </c>
      <c r="AV16" s="32">
        <f>AO16</f>
        <v>1121628</v>
      </c>
      <c r="AW16" s="32">
        <f>AR16</f>
        <v>1085446.44</v>
      </c>
      <c r="AX16" s="32">
        <f>AO16</f>
        <v>1121628</v>
      </c>
      <c r="AY16" s="32">
        <f>AR16</f>
        <v>1085446.44</v>
      </c>
      <c r="AZ16" s="32">
        <f>AO16</f>
        <v>1121628</v>
      </c>
      <c r="BA16" s="44">
        <f>SUM(AO16:AZ16)</f>
        <v>13206265.119999999</v>
      </c>
      <c r="BB16" s="57">
        <v>13207600</v>
      </c>
      <c r="BC16" s="60">
        <f t="shared" ref="BC16:BC25" si="22">BB16-BA16</f>
        <v>1334.8800000008196</v>
      </c>
      <c r="BD16" s="60"/>
      <c r="BE16" s="61"/>
    </row>
    <row r="17" spans="1:57" ht="60" customHeight="1" x14ac:dyDescent="0.25">
      <c r="A17" s="49">
        <v>5</v>
      </c>
      <c r="B17" s="21">
        <v>3</v>
      </c>
      <c r="C17" s="26" t="s">
        <v>27</v>
      </c>
      <c r="D17" s="50" t="s">
        <v>45</v>
      </c>
      <c r="E17" s="22">
        <v>50</v>
      </c>
      <c r="F17" s="7">
        <v>26</v>
      </c>
      <c r="G17" s="6">
        <v>11</v>
      </c>
      <c r="H17" s="1"/>
      <c r="I17" s="9">
        <f t="shared" si="0"/>
        <v>806</v>
      </c>
      <c r="J17" s="9">
        <f t="shared" si="1"/>
        <v>728</v>
      </c>
      <c r="K17" s="9">
        <f>F17*31</f>
        <v>806</v>
      </c>
      <c r="L17" s="9">
        <f t="shared" si="2"/>
        <v>780</v>
      </c>
      <c r="M17" s="10">
        <f t="shared" si="3"/>
        <v>806</v>
      </c>
      <c r="N17" s="10">
        <f t="shared" si="4"/>
        <v>780</v>
      </c>
      <c r="O17" s="10">
        <f t="shared" si="4"/>
        <v>806</v>
      </c>
      <c r="P17" s="10">
        <f t="shared" si="5"/>
        <v>806</v>
      </c>
      <c r="Q17" s="10">
        <f t="shared" si="6"/>
        <v>780</v>
      </c>
      <c r="R17" s="10">
        <f t="shared" si="7"/>
        <v>806</v>
      </c>
      <c r="S17" s="10">
        <f t="shared" si="7"/>
        <v>780</v>
      </c>
      <c r="T17" s="10">
        <f t="shared" si="7"/>
        <v>806</v>
      </c>
      <c r="U17" s="11">
        <f>SUM(I17:T17)</f>
        <v>9490</v>
      </c>
      <c r="V17" s="9"/>
      <c r="W17" s="9">
        <f t="shared" si="8"/>
        <v>8866</v>
      </c>
      <c r="X17" s="12">
        <f t="shared" si="9"/>
        <v>8008</v>
      </c>
      <c r="Y17" s="9">
        <f>K17*G17</f>
        <v>8866</v>
      </c>
      <c r="Z17" s="12">
        <f t="shared" si="10"/>
        <v>8580</v>
      </c>
      <c r="AA17" s="13">
        <f t="shared" si="11"/>
        <v>8866</v>
      </c>
      <c r="AB17" s="13">
        <f t="shared" si="11"/>
        <v>8580</v>
      </c>
      <c r="AC17" s="13">
        <f t="shared" si="11"/>
        <v>8866</v>
      </c>
      <c r="AD17" s="13">
        <f t="shared" si="12"/>
        <v>8866</v>
      </c>
      <c r="AE17" s="13">
        <f t="shared" si="12"/>
        <v>8580</v>
      </c>
      <c r="AF17" s="13">
        <f>AD17</f>
        <v>8866</v>
      </c>
      <c r="AG17" s="13">
        <f>AE17</f>
        <v>8580</v>
      </c>
      <c r="AH17" s="13">
        <f>AD17</f>
        <v>8866</v>
      </c>
      <c r="AI17" s="14">
        <f>SUM(W17:AH17)</f>
        <v>104390</v>
      </c>
      <c r="AJ17" s="94">
        <v>41.43</v>
      </c>
      <c r="AK17" s="95"/>
      <c r="AL17" s="95"/>
      <c r="AM17" s="96"/>
      <c r="AN17" s="9"/>
      <c r="AO17" s="9">
        <f>W17*AJ17</f>
        <v>367318.38</v>
      </c>
      <c r="AP17" s="9">
        <f>AJ17*X17</f>
        <v>331771.44</v>
      </c>
      <c r="AQ17" s="9">
        <f>AO17</f>
        <v>367318.38</v>
      </c>
      <c r="AR17" s="9">
        <f>Z17*AJ17</f>
        <v>355469.4</v>
      </c>
      <c r="AS17" s="9">
        <f>AO17</f>
        <v>367318.38</v>
      </c>
      <c r="AT17" s="9">
        <f t="shared" si="15"/>
        <v>355469.4</v>
      </c>
      <c r="AU17" s="9">
        <f>AO17</f>
        <v>367318.38</v>
      </c>
      <c r="AV17" s="9">
        <f>AC17*AJ17</f>
        <v>367318.38</v>
      </c>
      <c r="AW17" s="9">
        <f t="shared" si="16"/>
        <v>355469.4</v>
      </c>
      <c r="AX17" s="9">
        <f t="shared" si="17"/>
        <v>367318.38</v>
      </c>
      <c r="AY17" s="9">
        <f t="shared" si="18"/>
        <v>355469.4</v>
      </c>
      <c r="AZ17" s="9">
        <f t="shared" si="19"/>
        <v>367318.38</v>
      </c>
      <c r="BA17" s="43">
        <f>AZ17+AY17+AX17+AW17+AV17+AU17+AT17+AS17+AR17+AQ17+AP17+AO17</f>
        <v>4324877.6999999993</v>
      </c>
      <c r="BB17" s="58">
        <v>4324800</v>
      </c>
      <c r="BC17" s="60">
        <f t="shared" si="22"/>
        <v>-77.699999999254942</v>
      </c>
      <c r="BD17" s="62"/>
      <c r="BE17" s="61"/>
    </row>
    <row r="18" spans="1:57" ht="59.25" customHeight="1" x14ac:dyDescent="0.25">
      <c r="A18" s="49">
        <v>6</v>
      </c>
      <c r="B18" s="21">
        <v>5</v>
      </c>
      <c r="C18" s="26" t="s">
        <v>28</v>
      </c>
      <c r="D18" s="50" t="s">
        <v>36</v>
      </c>
      <c r="E18" s="22">
        <v>43</v>
      </c>
      <c r="F18" s="22">
        <v>17</v>
      </c>
      <c r="G18" s="6">
        <v>5</v>
      </c>
      <c r="H18" s="1"/>
      <c r="I18" s="9">
        <f t="shared" si="0"/>
        <v>527</v>
      </c>
      <c r="J18" s="9">
        <f t="shared" si="1"/>
        <v>476</v>
      </c>
      <c r="K18" s="9">
        <f>31*F18</f>
        <v>527</v>
      </c>
      <c r="L18" s="9">
        <f t="shared" si="2"/>
        <v>510</v>
      </c>
      <c r="M18" s="10">
        <f>31*F18</f>
        <v>527</v>
      </c>
      <c r="N18" s="10">
        <f>30*F18</f>
        <v>510</v>
      </c>
      <c r="O18" s="10">
        <f>31*F18</f>
        <v>527</v>
      </c>
      <c r="P18" s="10">
        <f>31*F18</f>
        <v>527</v>
      </c>
      <c r="Q18" s="10">
        <f>30*F18</f>
        <v>510</v>
      </c>
      <c r="R18" s="10">
        <f>31*F18</f>
        <v>527</v>
      </c>
      <c r="S18" s="10">
        <f>30*F18</f>
        <v>510</v>
      </c>
      <c r="T18" s="10">
        <f>31*F18</f>
        <v>527</v>
      </c>
      <c r="U18" s="11">
        <f>SUM(I18:T18)</f>
        <v>6205</v>
      </c>
      <c r="V18" s="9"/>
      <c r="W18" s="9">
        <f t="shared" si="8"/>
        <v>2635</v>
      </c>
      <c r="X18" s="12">
        <f t="shared" si="9"/>
        <v>2380</v>
      </c>
      <c r="Y18" s="9">
        <f>K18*G18</f>
        <v>2635</v>
      </c>
      <c r="Z18" s="12">
        <f t="shared" si="10"/>
        <v>2550</v>
      </c>
      <c r="AA18" s="13">
        <f>M18*G18</f>
        <v>2635</v>
      </c>
      <c r="AB18" s="13">
        <f>N18*G18</f>
        <v>2550</v>
      </c>
      <c r="AC18" s="13">
        <f>W18</f>
        <v>2635</v>
      </c>
      <c r="AD18" s="13">
        <f>W18</f>
        <v>2635</v>
      </c>
      <c r="AE18" s="13">
        <f>Z18</f>
        <v>2550</v>
      </c>
      <c r="AF18" s="13">
        <f>W18</f>
        <v>2635</v>
      </c>
      <c r="AG18" s="13">
        <f>Z18</f>
        <v>2550</v>
      </c>
      <c r="AH18" s="13">
        <f>W18</f>
        <v>2635</v>
      </c>
      <c r="AI18" s="14">
        <f t="shared" si="20"/>
        <v>31025</v>
      </c>
      <c r="AJ18" s="94">
        <v>61.34</v>
      </c>
      <c r="AK18" s="95"/>
      <c r="AL18" s="95"/>
      <c r="AM18" s="96"/>
      <c r="AN18" s="9"/>
      <c r="AO18" s="9">
        <f>AJ18*W18</f>
        <v>161630.90000000002</v>
      </c>
      <c r="AP18" s="9">
        <f>AJ18*X18</f>
        <v>145989.20000000001</v>
      </c>
      <c r="AQ18" s="9">
        <f>AO18</f>
        <v>161630.90000000002</v>
      </c>
      <c r="AR18" s="9">
        <f t="shared" si="14"/>
        <v>156417</v>
      </c>
      <c r="AS18" s="9">
        <f>AO18</f>
        <v>161630.90000000002</v>
      </c>
      <c r="AT18" s="9">
        <f t="shared" si="15"/>
        <v>156417</v>
      </c>
      <c r="AU18" s="9">
        <f>AC18*AJ18</f>
        <v>161630.90000000002</v>
      </c>
      <c r="AV18" s="9">
        <f>AC18*AJ18</f>
        <v>161630.90000000002</v>
      </c>
      <c r="AW18" s="9">
        <f t="shared" si="16"/>
        <v>156417</v>
      </c>
      <c r="AX18" s="9">
        <f t="shared" si="17"/>
        <v>161630.90000000002</v>
      </c>
      <c r="AY18" s="9">
        <f t="shared" si="18"/>
        <v>156417</v>
      </c>
      <c r="AZ18" s="9">
        <f t="shared" si="19"/>
        <v>161630.90000000002</v>
      </c>
      <c r="BA18" s="43">
        <f t="shared" ref="BA18" si="23">SUM(AO18:AZ18)</f>
        <v>1903073.5</v>
      </c>
      <c r="BB18" s="53">
        <v>3878300</v>
      </c>
      <c r="BC18" s="60">
        <f t="shared" si="22"/>
        <v>1975226.5</v>
      </c>
      <c r="BD18" s="62"/>
      <c r="BE18" s="61"/>
    </row>
    <row r="19" spans="1:57" ht="54" customHeight="1" x14ac:dyDescent="0.25">
      <c r="A19" s="51">
        <v>7</v>
      </c>
      <c r="B19" s="21">
        <v>11</v>
      </c>
      <c r="C19" s="26" t="s">
        <v>29</v>
      </c>
      <c r="D19" s="50" t="s">
        <v>34</v>
      </c>
      <c r="E19" s="22">
        <v>99</v>
      </c>
      <c r="F19" s="7">
        <v>24</v>
      </c>
      <c r="G19" s="6">
        <v>11.08</v>
      </c>
      <c r="H19" s="1"/>
      <c r="I19" s="9">
        <f t="shared" si="0"/>
        <v>744</v>
      </c>
      <c r="J19" s="9">
        <f t="shared" si="1"/>
        <v>672</v>
      </c>
      <c r="K19" s="9">
        <v>744</v>
      </c>
      <c r="L19" s="9">
        <f t="shared" si="2"/>
        <v>720</v>
      </c>
      <c r="M19" s="10">
        <v>744</v>
      </c>
      <c r="N19" s="10">
        <v>720</v>
      </c>
      <c r="O19" s="10">
        <v>744</v>
      </c>
      <c r="P19" s="10">
        <v>744</v>
      </c>
      <c r="Q19" s="10">
        <v>720</v>
      </c>
      <c r="R19" s="10">
        <v>744</v>
      </c>
      <c r="S19" s="10">
        <v>720</v>
      </c>
      <c r="T19" s="10">
        <v>744</v>
      </c>
      <c r="U19" s="11">
        <f>SUM(I19:T19)</f>
        <v>8760</v>
      </c>
      <c r="V19" s="9"/>
      <c r="W19" s="9">
        <f t="shared" si="8"/>
        <v>8243.52</v>
      </c>
      <c r="X19" s="12">
        <f t="shared" si="9"/>
        <v>7445.76</v>
      </c>
      <c r="Y19" s="9">
        <v>8243.52</v>
      </c>
      <c r="Z19" s="12">
        <v>7977.6</v>
      </c>
      <c r="AA19" s="13">
        <v>8243.52</v>
      </c>
      <c r="AB19" s="13">
        <v>7977.6</v>
      </c>
      <c r="AC19" s="13">
        <v>8243.52</v>
      </c>
      <c r="AD19" s="13">
        <v>8243.52</v>
      </c>
      <c r="AE19" s="13">
        <v>7977.6</v>
      </c>
      <c r="AF19" s="13">
        <v>8243.52</v>
      </c>
      <c r="AG19" s="13">
        <v>7977.6</v>
      </c>
      <c r="AH19" s="13">
        <v>8243.52</v>
      </c>
      <c r="AI19" s="14">
        <f>SUM(W19:AH19)</f>
        <v>97060.800000000017</v>
      </c>
      <c r="AJ19" s="94">
        <v>28.96</v>
      </c>
      <c r="AK19" s="95"/>
      <c r="AL19" s="95"/>
      <c r="AM19" s="96"/>
      <c r="AN19" s="9"/>
      <c r="AO19" s="9">
        <f>AJ19*W19</f>
        <v>238732.33920000002</v>
      </c>
      <c r="AP19" s="9">
        <f>AJ19*X19</f>
        <v>215629.2096</v>
      </c>
      <c r="AQ19" s="9">
        <f>AO19</f>
        <v>238732.33920000002</v>
      </c>
      <c r="AR19" s="9">
        <f t="shared" si="14"/>
        <v>231031.29600000003</v>
      </c>
      <c r="AS19" s="9">
        <f>AA19*AJ19</f>
        <v>238732.33920000002</v>
      </c>
      <c r="AT19" s="9">
        <f t="shared" si="15"/>
        <v>231031.29600000003</v>
      </c>
      <c r="AU19" s="9">
        <f>AC19*AJ19</f>
        <v>238732.33920000002</v>
      </c>
      <c r="AV19" s="9">
        <f>AC19*AJ19</f>
        <v>238732.33920000002</v>
      </c>
      <c r="AW19" s="9">
        <f t="shared" si="16"/>
        <v>231031.29600000003</v>
      </c>
      <c r="AX19" s="9">
        <f t="shared" si="17"/>
        <v>238732.33920000002</v>
      </c>
      <c r="AY19" s="9">
        <f t="shared" si="18"/>
        <v>231031.29600000003</v>
      </c>
      <c r="AZ19" s="9">
        <f t="shared" si="19"/>
        <v>238732.33920000002</v>
      </c>
      <c r="BA19" s="43">
        <v>2810880.79</v>
      </c>
      <c r="BB19" s="53">
        <v>2811800</v>
      </c>
      <c r="BC19" s="60">
        <f t="shared" si="22"/>
        <v>919.20999999996275</v>
      </c>
      <c r="BD19" s="62"/>
      <c r="BE19" s="61"/>
    </row>
    <row r="20" spans="1:57" ht="54" customHeight="1" x14ac:dyDescent="0.25">
      <c r="A20" s="49">
        <v>8</v>
      </c>
      <c r="B20" s="21">
        <v>12</v>
      </c>
      <c r="C20" s="26" t="s">
        <v>30</v>
      </c>
      <c r="D20" s="50" t="s">
        <v>34</v>
      </c>
      <c r="E20" s="22">
        <v>99</v>
      </c>
      <c r="F20" s="7">
        <v>28</v>
      </c>
      <c r="G20" s="6">
        <v>10</v>
      </c>
      <c r="H20" s="1"/>
      <c r="I20" s="9">
        <f t="shared" si="0"/>
        <v>868</v>
      </c>
      <c r="J20" s="9">
        <f t="shared" si="1"/>
        <v>784</v>
      </c>
      <c r="K20" s="9">
        <f>F20*31</f>
        <v>868</v>
      </c>
      <c r="L20" s="9">
        <f t="shared" si="2"/>
        <v>840</v>
      </c>
      <c r="M20" s="15">
        <f>K20</f>
        <v>868</v>
      </c>
      <c r="N20" s="10">
        <f>L20</f>
        <v>840</v>
      </c>
      <c r="O20" s="15">
        <f>M20</f>
        <v>868</v>
      </c>
      <c r="P20" s="15">
        <f>M20</f>
        <v>868</v>
      </c>
      <c r="Q20" s="10">
        <f>N20</f>
        <v>840</v>
      </c>
      <c r="R20" s="15">
        <f>P20</f>
        <v>868</v>
      </c>
      <c r="S20" s="10">
        <f>Q20</f>
        <v>840</v>
      </c>
      <c r="T20" s="15">
        <f>R20</f>
        <v>868</v>
      </c>
      <c r="U20" s="11">
        <f>SUM(I20:T20)</f>
        <v>10220</v>
      </c>
      <c r="V20" s="15"/>
      <c r="W20" s="15">
        <f>G20*I20</f>
        <v>8680</v>
      </c>
      <c r="X20" s="12">
        <f t="shared" si="9"/>
        <v>7840</v>
      </c>
      <c r="Y20" s="15">
        <f>K20*G20</f>
        <v>8680</v>
      </c>
      <c r="Z20" s="12">
        <f>+L20*G20</f>
        <v>8400</v>
      </c>
      <c r="AA20" s="16">
        <f>W20</f>
        <v>8680</v>
      </c>
      <c r="AB20" s="12">
        <f>Z20</f>
        <v>8400</v>
      </c>
      <c r="AC20" s="16">
        <f>W20</f>
        <v>8680</v>
      </c>
      <c r="AD20" s="16">
        <f>W20</f>
        <v>8680</v>
      </c>
      <c r="AE20" s="12">
        <f>AB20</f>
        <v>8400</v>
      </c>
      <c r="AF20" s="16">
        <f>AC20</f>
        <v>8680</v>
      </c>
      <c r="AG20" s="12">
        <f>AE20</f>
        <v>8400</v>
      </c>
      <c r="AH20" s="16">
        <f>AD20</f>
        <v>8680</v>
      </c>
      <c r="AI20" s="14">
        <f>SUM(W20:AH20)</f>
        <v>102200</v>
      </c>
      <c r="AJ20" s="94">
        <v>27.6</v>
      </c>
      <c r="AK20" s="95"/>
      <c r="AL20" s="95"/>
      <c r="AM20" s="96"/>
      <c r="AN20" s="9"/>
      <c r="AO20" s="9">
        <f>W20*AJ20</f>
        <v>239568</v>
      </c>
      <c r="AP20" s="9">
        <f>X20*AJ20</f>
        <v>216384</v>
      </c>
      <c r="AQ20" s="9">
        <f>Y20*AJ20</f>
        <v>239568</v>
      </c>
      <c r="AR20" s="9">
        <f>AJ20*Z20</f>
        <v>231840</v>
      </c>
      <c r="AS20" s="9">
        <f>AA20*AJ20</f>
        <v>239568</v>
      </c>
      <c r="AT20" s="9">
        <f>AR20</f>
        <v>231840</v>
      </c>
      <c r="AU20" s="9">
        <f>AC20*AJ20</f>
        <v>239568</v>
      </c>
      <c r="AV20" s="9">
        <f>AD20*AJ20</f>
        <v>239568</v>
      </c>
      <c r="AW20" s="9">
        <f t="shared" si="16"/>
        <v>231840</v>
      </c>
      <c r="AX20" s="9">
        <f t="shared" si="17"/>
        <v>239568</v>
      </c>
      <c r="AY20" s="9">
        <f t="shared" si="18"/>
        <v>231840</v>
      </c>
      <c r="AZ20" s="9">
        <f t="shared" si="19"/>
        <v>239568</v>
      </c>
      <c r="BA20" s="43">
        <f>SUM(AO20:AZ20)</f>
        <v>2820720</v>
      </c>
      <c r="BB20" s="53">
        <v>2820600</v>
      </c>
      <c r="BC20" s="60">
        <f t="shared" si="22"/>
        <v>-120</v>
      </c>
      <c r="BD20" s="62"/>
      <c r="BE20" s="61"/>
    </row>
    <row r="21" spans="1:57" ht="57" customHeight="1" x14ac:dyDescent="0.25">
      <c r="A21" s="49">
        <v>9</v>
      </c>
      <c r="B21" s="21">
        <v>8</v>
      </c>
      <c r="C21" s="26" t="s">
        <v>38</v>
      </c>
      <c r="D21" s="50" t="s">
        <v>36</v>
      </c>
      <c r="E21" s="22">
        <v>50</v>
      </c>
      <c r="F21" s="7">
        <v>14</v>
      </c>
      <c r="G21" s="6">
        <v>7</v>
      </c>
      <c r="H21" s="1"/>
      <c r="I21" s="9">
        <v>0</v>
      </c>
      <c r="J21" s="9">
        <v>0</v>
      </c>
      <c r="K21" s="9">
        <v>0</v>
      </c>
      <c r="L21" s="9">
        <v>0</v>
      </c>
      <c r="M21" s="15">
        <f>31*F21</f>
        <v>434</v>
      </c>
      <c r="N21" s="10">
        <f>30*F21</f>
        <v>420</v>
      </c>
      <c r="O21" s="15">
        <f>31*F21</f>
        <v>434</v>
      </c>
      <c r="P21" s="15">
        <f>31*F21</f>
        <v>434</v>
      </c>
      <c r="Q21" s="10">
        <f>30*F21</f>
        <v>420</v>
      </c>
      <c r="R21" s="15">
        <v>0</v>
      </c>
      <c r="S21" s="10">
        <v>0</v>
      </c>
      <c r="T21" s="15">
        <v>0</v>
      </c>
      <c r="U21" s="11">
        <f>SUM(I21:T21)</f>
        <v>2142</v>
      </c>
      <c r="V21" s="15"/>
      <c r="W21" s="15">
        <f>I21*G21</f>
        <v>0</v>
      </c>
      <c r="X21" s="12">
        <v>0</v>
      </c>
      <c r="Y21" s="15">
        <v>0</v>
      </c>
      <c r="Z21" s="12">
        <v>0</v>
      </c>
      <c r="AA21" s="16">
        <f>M21*G21</f>
        <v>3038</v>
      </c>
      <c r="AB21" s="12">
        <f>N21*G21</f>
        <v>2940</v>
      </c>
      <c r="AC21" s="16">
        <f>G21*O21</f>
        <v>3038</v>
      </c>
      <c r="AD21" s="16">
        <f>P21*G21</f>
        <v>3038</v>
      </c>
      <c r="AE21" s="12">
        <f>G21*Q21</f>
        <v>2940</v>
      </c>
      <c r="AF21" s="16">
        <v>0</v>
      </c>
      <c r="AG21" s="12">
        <v>0</v>
      </c>
      <c r="AH21" s="16">
        <v>0</v>
      </c>
      <c r="AI21" s="14">
        <f>AA21+AB21+AC21+AD21+AE21</f>
        <v>14994</v>
      </c>
      <c r="AJ21" s="94">
        <v>45.55</v>
      </c>
      <c r="AK21" s="95"/>
      <c r="AL21" s="95"/>
      <c r="AM21" s="96"/>
      <c r="AN21" s="9"/>
      <c r="AO21" s="9">
        <v>0</v>
      </c>
      <c r="AP21" s="9">
        <v>0</v>
      </c>
      <c r="AQ21" s="9">
        <v>0</v>
      </c>
      <c r="AR21" s="9">
        <v>0</v>
      </c>
      <c r="AS21" s="9">
        <f>AJ21*AA21</f>
        <v>138380.9</v>
      </c>
      <c r="AT21" s="9">
        <f>AB21*AJ21</f>
        <v>133917</v>
      </c>
      <c r="AU21" s="9">
        <f>AC21*AJ21</f>
        <v>138380.9</v>
      </c>
      <c r="AV21" s="9">
        <f>AD21*AJ21</f>
        <v>138380.9</v>
      </c>
      <c r="AW21" s="9">
        <f t="shared" si="16"/>
        <v>133917</v>
      </c>
      <c r="AX21" s="9">
        <v>0</v>
      </c>
      <c r="AY21" s="9">
        <v>0</v>
      </c>
      <c r="AZ21" s="9">
        <v>0</v>
      </c>
      <c r="BA21" s="43">
        <f>SUM(AS21:AZ21)</f>
        <v>682976.70000000007</v>
      </c>
      <c r="BB21" s="59">
        <v>683000</v>
      </c>
      <c r="BC21" s="60">
        <f t="shared" si="22"/>
        <v>23.299999999930151</v>
      </c>
      <c r="BD21" s="62"/>
      <c r="BE21" s="61"/>
    </row>
    <row r="22" spans="1:57" ht="54.75" customHeight="1" x14ac:dyDescent="0.25">
      <c r="A22" s="49">
        <v>10</v>
      </c>
      <c r="B22" s="21">
        <v>9</v>
      </c>
      <c r="C22" s="26" t="s">
        <v>32</v>
      </c>
      <c r="D22" s="50" t="s">
        <v>33</v>
      </c>
      <c r="E22" s="22">
        <v>60</v>
      </c>
      <c r="F22" s="8" t="s">
        <v>35</v>
      </c>
      <c r="G22" s="5">
        <v>14.15</v>
      </c>
      <c r="H22" s="1"/>
      <c r="I22" s="9">
        <v>0</v>
      </c>
      <c r="J22" s="9">
        <v>0</v>
      </c>
      <c r="K22" s="9">
        <v>0</v>
      </c>
      <c r="L22" s="9">
        <v>0</v>
      </c>
      <c r="M22" s="16">
        <f>25*16</f>
        <v>400</v>
      </c>
      <c r="N22" s="10">
        <v>540</v>
      </c>
      <c r="O22" s="15">
        <v>558</v>
      </c>
      <c r="P22" s="15">
        <v>558</v>
      </c>
      <c r="Q22" s="10">
        <v>480</v>
      </c>
      <c r="R22" s="15">
        <v>0</v>
      </c>
      <c r="S22" s="10">
        <v>0</v>
      </c>
      <c r="T22" s="15">
        <v>0</v>
      </c>
      <c r="U22" s="11">
        <f>SUM(H22:T22)</f>
        <v>2536</v>
      </c>
      <c r="V22" s="15"/>
      <c r="W22" s="15">
        <v>0</v>
      </c>
      <c r="X22" s="12">
        <f>J22*G22</f>
        <v>0</v>
      </c>
      <c r="Y22" s="15">
        <v>0</v>
      </c>
      <c r="Z22" s="12">
        <v>0</v>
      </c>
      <c r="AA22" s="16">
        <f>M22*G22</f>
        <v>5660</v>
      </c>
      <c r="AB22" s="12">
        <f>N22*G22</f>
        <v>7641</v>
      </c>
      <c r="AC22" s="16">
        <f>O22*G22</f>
        <v>7895.7</v>
      </c>
      <c r="AD22" s="16">
        <f>G22*P22</f>
        <v>7895.7</v>
      </c>
      <c r="AE22" s="12">
        <f>Q22*G22</f>
        <v>6792</v>
      </c>
      <c r="AF22" s="16">
        <v>0</v>
      </c>
      <c r="AG22" s="12">
        <v>0</v>
      </c>
      <c r="AH22" s="16">
        <v>0</v>
      </c>
      <c r="AI22" s="14">
        <f>SUM(AA22:AE22)</f>
        <v>35884.400000000001</v>
      </c>
      <c r="AJ22" s="94">
        <v>57.14</v>
      </c>
      <c r="AK22" s="95"/>
      <c r="AL22" s="95"/>
      <c r="AM22" s="96"/>
      <c r="AN22" s="9"/>
      <c r="AO22" s="9">
        <v>0</v>
      </c>
      <c r="AP22" s="9">
        <f>AL22*X22</f>
        <v>0</v>
      </c>
      <c r="AQ22" s="9">
        <v>0</v>
      </c>
      <c r="AR22" s="9">
        <v>0</v>
      </c>
      <c r="AS22" s="9">
        <f>AA22*AJ22</f>
        <v>323412.40000000002</v>
      </c>
      <c r="AT22" s="9">
        <f>AB22*AJ22</f>
        <v>436606.74</v>
      </c>
      <c r="AU22" s="9">
        <f>AC22*AJ22</f>
        <v>451160.29800000001</v>
      </c>
      <c r="AV22" s="9">
        <f>AD22*AJ22</f>
        <v>451160.29800000001</v>
      </c>
      <c r="AW22" s="9">
        <f>AE22*AJ22</f>
        <v>388094.88</v>
      </c>
      <c r="AX22" s="9">
        <v>0</v>
      </c>
      <c r="AY22" s="9">
        <v>0</v>
      </c>
      <c r="AZ22" s="9">
        <v>0</v>
      </c>
      <c r="BA22" s="43">
        <f>SUM(AS22:AW22)</f>
        <v>2050434.6159999999</v>
      </c>
      <c r="BB22" s="59">
        <v>2050500</v>
      </c>
      <c r="BC22" s="60">
        <f t="shared" si="22"/>
        <v>65.384000000078231</v>
      </c>
      <c r="BD22" s="62"/>
      <c r="BE22" s="61"/>
    </row>
    <row r="23" spans="1:57" ht="55.5" customHeight="1" x14ac:dyDescent="0.25">
      <c r="A23" s="49">
        <v>11</v>
      </c>
      <c r="B23" s="21">
        <v>7</v>
      </c>
      <c r="C23" s="26" t="s">
        <v>40</v>
      </c>
      <c r="D23" s="50" t="s">
        <v>45</v>
      </c>
      <c r="E23" s="22">
        <v>43</v>
      </c>
      <c r="F23" s="23" t="s">
        <v>35</v>
      </c>
      <c r="G23" s="24">
        <v>9</v>
      </c>
      <c r="H23" s="25"/>
      <c r="I23" s="12">
        <v>0</v>
      </c>
      <c r="J23" s="12">
        <v>0</v>
      </c>
      <c r="K23" s="12">
        <v>0</v>
      </c>
      <c r="L23" s="12">
        <v>0</v>
      </c>
      <c r="M23" s="16">
        <f>6*25</f>
        <v>150</v>
      </c>
      <c r="N23" s="13">
        <f>6*30</f>
        <v>180</v>
      </c>
      <c r="O23" s="16">
        <f>6*31</f>
        <v>186</v>
      </c>
      <c r="P23" s="16">
        <v>186</v>
      </c>
      <c r="Q23" s="13">
        <v>180</v>
      </c>
      <c r="R23" s="16">
        <v>0</v>
      </c>
      <c r="S23" s="13">
        <v>0</v>
      </c>
      <c r="T23" s="16">
        <v>0</v>
      </c>
      <c r="U23" s="28">
        <f>M23+N23+O23+P23+Q23</f>
        <v>882</v>
      </c>
      <c r="V23" s="16"/>
      <c r="W23" s="16">
        <v>0</v>
      </c>
      <c r="X23" s="12">
        <v>0</v>
      </c>
      <c r="Y23" s="16">
        <v>0</v>
      </c>
      <c r="Z23" s="12">
        <v>0</v>
      </c>
      <c r="AA23" s="16">
        <f>M23*G23</f>
        <v>1350</v>
      </c>
      <c r="AB23" s="12">
        <f>G23*N23</f>
        <v>1620</v>
      </c>
      <c r="AC23" s="16">
        <f>O23*G23</f>
        <v>1674</v>
      </c>
      <c r="AD23" s="16">
        <f>P23*G23</f>
        <v>1674</v>
      </c>
      <c r="AE23" s="12">
        <f>Q23*G23</f>
        <v>1620</v>
      </c>
      <c r="AF23" s="16">
        <v>0</v>
      </c>
      <c r="AG23" s="12">
        <v>0</v>
      </c>
      <c r="AH23" s="16">
        <v>0</v>
      </c>
      <c r="AI23" s="29">
        <f>SUM(W23:AH23)</f>
        <v>7938</v>
      </c>
      <c r="AJ23" s="97">
        <v>92.15</v>
      </c>
      <c r="AK23" s="98"/>
      <c r="AL23" s="98"/>
      <c r="AM23" s="99"/>
      <c r="AN23" s="12"/>
      <c r="AO23" s="12">
        <v>0</v>
      </c>
      <c r="AP23" s="12">
        <v>0</v>
      </c>
      <c r="AQ23" s="12">
        <v>0</v>
      </c>
      <c r="AR23" s="12">
        <v>0</v>
      </c>
      <c r="AS23" s="12">
        <f>AJ23*AA23</f>
        <v>124402.50000000001</v>
      </c>
      <c r="AT23" s="12">
        <f>AJ23*AB23</f>
        <v>149283</v>
      </c>
      <c r="AU23" s="12">
        <f>AJ23*AC23</f>
        <v>154259.1</v>
      </c>
      <c r="AV23" s="12">
        <f>AD23*AJ23</f>
        <v>154259.1</v>
      </c>
      <c r="AW23" s="12">
        <f>AJ23*AE23</f>
        <v>149283</v>
      </c>
      <c r="AX23" s="12">
        <v>0</v>
      </c>
      <c r="AY23" s="12">
        <v>0</v>
      </c>
      <c r="AZ23" s="12">
        <v>0</v>
      </c>
      <c r="BA23" s="43">
        <f>SUM(AO23:AZ23)</f>
        <v>731486.7</v>
      </c>
      <c r="BB23" s="59">
        <v>731500</v>
      </c>
      <c r="BC23" s="60">
        <f t="shared" si="22"/>
        <v>13.300000000046566</v>
      </c>
      <c r="BD23" s="62"/>
      <c r="BE23" s="61"/>
    </row>
    <row r="24" spans="1:57" ht="55.5" customHeight="1" x14ac:dyDescent="0.25">
      <c r="A24" s="49">
        <v>12</v>
      </c>
      <c r="B24" s="52">
        <v>1</v>
      </c>
      <c r="C24" s="26" t="s">
        <v>39</v>
      </c>
      <c r="D24" s="50" t="s">
        <v>47</v>
      </c>
      <c r="E24" s="22">
        <v>44</v>
      </c>
      <c r="F24" s="7">
        <v>14</v>
      </c>
      <c r="G24" s="6">
        <v>8.6</v>
      </c>
      <c r="H24" s="1"/>
      <c r="I24" s="12">
        <f>F24*22</f>
        <v>308</v>
      </c>
      <c r="J24" s="12">
        <f>F24*20</f>
        <v>280</v>
      </c>
      <c r="K24" s="12">
        <f>F24*23</f>
        <v>322</v>
      </c>
      <c r="L24" s="12">
        <f>F24*20</f>
        <v>280</v>
      </c>
      <c r="M24" s="16">
        <f>23*F24</f>
        <v>322</v>
      </c>
      <c r="N24" s="13">
        <f>22*F24</f>
        <v>308</v>
      </c>
      <c r="O24" s="16">
        <f>21*F24</f>
        <v>294</v>
      </c>
      <c r="P24" s="16">
        <f>23*F24</f>
        <v>322</v>
      </c>
      <c r="Q24" s="13">
        <f>21*F24</f>
        <v>294</v>
      </c>
      <c r="R24" s="16">
        <f>22*F24</f>
        <v>308</v>
      </c>
      <c r="S24" s="13">
        <f>22*F24</f>
        <v>308</v>
      </c>
      <c r="T24" s="16">
        <f>21*F24</f>
        <v>294</v>
      </c>
      <c r="U24" s="28">
        <f>SUM(I24:T24)</f>
        <v>3640</v>
      </c>
      <c r="V24" s="16"/>
      <c r="W24" s="16">
        <f>I24*G24</f>
        <v>2648.7999999999997</v>
      </c>
      <c r="X24" s="12">
        <f>J24*G24</f>
        <v>2408</v>
      </c>
      <c r="Y24" s="16">
        <f>K24*G24</f>
        <v>2769.2</v>
      </c>
      <c r="Z24" s="12">
        <f>L24*G24</f>
        <v>2408</v>
      </c>
      <c r="AA24" s="16">
        <f>M24*G24</f>
        <v>2769.2</v>
      </c>
      <c r="AB24" s="12">
        <f>N24*G24</f>
        <v>2648.7999999999997</v>
      </c>
      <c r="AC24" s="16">
        <f>O24*G24</f>
        <v>2528.4</v>
      </c>
      <c r="AD24" s="16">
        <f>P24*G24</f>
        <v>2769.2</v>
      </c>
      <c r="AE24" s="12">
        <f>Q24*G24</f>
        <v>2528.4</v>
      </c>
      <c r="AF24" s="16">
        <f>R24*G24</f>
        <v>2648.7999999999997</v>
      </c>
      <c r="AG24" s="12">
        <f>S24*G24</f>
        <v>2648.7999999999997</v>
      </c>
      <c r="AH24" s="16">
        <f>T24*G24</f>
        <v>2528.4</v>
      </c>
      <c r="AI24" s="29">
        <f>SUM(W24:AH24)</f>
        <v>31304.000000000004</v>
      </c>
      <c r="AJ24" s="94">
        <v>99.47</v>
      </c>
      <c r="AK24" s="95"/>
      <c r="AL24" s="95"/>
      <c r="AM24" s="96"/>
      <c r="AN24" s="9"/>
      <c r="AO24" s="12">
        <f>AJ24*W24</f>
        <v>263476.136</v>
      </c>
      <c r="AP24" s="12">
        <f>AJ24*X24</f>
        <v>239523.76</v>
      </c>
      <c r="AQ24" s="12">
        <f>AJ24*Y24</f>
        <v>275452.32399999996</v>
      </c>
      <c r="AR24" s="12">
        <f>AJ24*Z24</f>
        <v>239523.76</v>
      </c>
      <c r="AS24" s="12">
        <f>AA24*AJ24</f>
        <v>275452.32399999996</v>
      </c>
      <c r="AT24" s="12">
        <f>AJ24*AB24</f>
        <v>263476.136</v>
      </c>
      <c r="AU24" s="12">
        <f>AJ24*AC24</f>
        <v>251499.948</v>
      </c>
      <c r="AV24" s="12">
        <f>AJ24*AD24</f>
        <v>275452.32399999996</v>
      </c>
      <c r="AW24" s="12">
        <f>AJ24*AE24</f>
        <v>251499.948</v>
      </c>
      <c r="AX24" s="12">
        <f>AJ24*AF24</f>
        <v>263476.136</v>
      </c>
      <c r="AY24" s="12">
        <f>AJ24*AG24</f>
        <v>263476.136</v>
      </c>
      <c r="AZ24" s="12">
        <f>AJ24*AH24</f>
        <v>251499.948</v>
      </c>
      <c r="BA24" s="43">
        <f>SUM(AO24:AZ24)</f>
        <v>3113808.88</v>
      </c>
      <c r="BB24" s="59">
        <v>3113900</v>
      </c>
      <c r="BC24" s="63">
        <f t="shared" si="22"/>
        <v>91.120000000111759</v>
      </c>
      <c r="BD24" s="62"/>
      <c r="BE24" s="61"/>
    </row>
    <row r="25" spans="1:57" ht="55.5" customHeight="1" x14ac:dyDescent="0.25">
      <c r="A25" s="49">
        <v>13</v>
      </c>
      <c r="B25" s="52">
        <v>4</v>
      </c>
      <c r="C25" s="26" t="s">
        <v>42</v>
      </c>
      <c r="D25" s="50" t="s">
        <v>46</v>
      </c>
      <c r="E25" s="22">
        <v>42</v>
      </c>
      <c r="F25" s="7">
        <v>56</v>
      </c>
      <c r="G25" s="6">
        <v>7.5</v>
      </c>
      <c r="H25" s="1"/>
      <c r="I25" s="9">
        <f>F25*31</f>
        <v>1736</v>
      </c>
      <c r="J25" s="9">
        <f>F25*28</f>
        <v>1568</v>
      </c>
      <c r="K25" s="9">
        <f>F25*31</f>
        <v>1736</v>
      </c>
      <c r="L25" s="9">
        <f>F25*30</f>
        <v>1680</v>
      </c>
      <c r="M25" s="15">
        <f t="shared" ref="M25:O25" si="24">K25</f>
        <v>1736</v>
      </c>
      <c r="N25" s="10">
        <f t="shared" si="24"/>
        <v>1680</v>
      </c>
      <c r="O25" s="15">
        <f t="shared" si="24"/>
        <v>1736</v>
      </c>
      <c r="P25" s="15">
        <f t="shared" ref="P25:R25" si="25">M25</f>
        <v>1736</v>
      </c>
      <c r="Q25" s="10">
        <f t="shared" si="25"/>
        <v>1680</v>
      </c>
      <c r="R25" s="15">
        <f t="shared" si="25"/>
        <v>1736</v>
      </c>
      <c r="S25" s="10">
        <f>Q25</f>
        <v>1680</v>
      </c>
      <c r="T25" s="15">
        <f>R25</f>
        <v>1736</v>
      </c>
      <c r="U25" s="11">
        <f>SUM(I25:T25)</f>
        <v>20440</v>
      </c>
      <c r="V25" s="15"/>
      <c r="W25" s="15">
        <f>I25*G25</f>
        <v>13020</v>
      </c>
      <c r="X25" s="12">
        <f>J25*G25</f>
        <v>11760</v>
      </c>
      <c r="Y25" s="15">
        <f>K25*G25</f>
        <v>13020</v>
      </c>
      <c r="Z25" s="12">
        <f>L25*G25</f>
        <v>12600</v>
      </c>
      <c r="AA25" s="16">
        <f t="shared" ref="AA25:AC25" si="26">Y25</f>
        <v>13020</v>
      </c>
      <c r="AB25" s="12">
        <f t="shared" si="26"/>
        <v>12600</v>
      </c>
      <c r="AC25" s="16">
        <f t="shared" si="26"/>
        <v>13020</v>
      </c>
      <c r="AD25" s="16">
        <f>AC25</f>
        <v>13020</v>
      </c>
      <c r="AE25" s="12">
        <f>AB25</f>
        <v>12600</v>
      </c>
      <c r="AF25" s="16">
        <f t="shared" ref="AF25:AH25" si="27">AD25</f>
        <v>13020</v>
      </c>
      <c r="AG25" s="12">
        <f t="shared" si="27"/>
        <v>12600</v>
      </c>
      <c r="AH25" s="16">
        <f t="shared" si="27"/>
        <v>13020</v>
      </c>
      <c r="AI25" s="14">
        <f>SUM(W25:AH25)</f>
        <v>153300</v>
      </c>
      <c r="AJ25" s="94">
        <v>26.22</v>
      </c>
      <c r="AK25" s="95"/>
      <c r="AL25" s="95"/>
      <c r="AM25" s="96"/>
      <c r="AN25" s="9"/>
      <c r="AO25" s="9">
        <f>W25*AJ25</f>
        <v>341384.39999999997</v>
      </c>
      <c r="AP25" s="9">
        <f>X25*AJ25</f>
        <v>308347.2</v>
      </c>
      <c r="AQ25" s="9">
        <f>Y25*AJ25</f>
        <v>341384.39999999997</v>
      </c>
      <c r="AR25" s="9">
        <f>AJ25*Z25</f>
        <v>330372</v>
      </c>
      <c r="AS25" s="9">
        <f>AA25*AJ25</f>
        <v>341384.39999999997</v>
      </c>
      <c r="AT25" s="9">
        <f>AR25</f>
        <v>330372</v>
      </c>
      <c r="AU25" s="9">
        <f>AS25</f>
        <v>341384.39999999997</v>
      </c>
      <c r="AV25" s="9">
        <f>AS25</f>
        <v>341384.39999999997</v>
      </c>
      <c r="AW25" s="9">
        <f>AJ25*AE25</f>
        <v>330372</v>
      </c>
      <c r="AX25" s="9">
        <f t="shared" ref="AX25:AZ25" si="28">AV25</f>
        <v>341384.39999999997</v>
      </c>
      <c r="AY25" s="9">
        <f t="shared" si="28"/>
        <v>330372</v>
      </c>
      <c r="AZ25" s="9">
        <f t="shared" si="28"/>
        <v>341384.39999999997</v>
      </c>
      <c r="BA25" s="43">
        <f>SUM(AO25:AZ25)</f>
        <v>4019525.9999999995</v>
      </c>
      <c r="BB25" s="53">
        <v>4020000</v>
      </c>
      <c r="BC25" s="60">
        <f t="shared" si="22"/>
        <v>474.00000000046566</v>
      </c>
      <c r="BD25" s="62"/>
      <c r="BE25" s="61"/>
    </row>
    <row r="26" spans="1:57" ht="68.25" customHeight="1" x14ac:dyDescent="0.25">
      <c r="A26" s="78" t="s">
        <v>31</v>
      </c>
      <c r="B26" s="79"/>
      <c r="C26" s="79"/>
      <c r="D26" s="79"/>
      <c r="E26" s="79"/>
      <c r="F26" s="79"/>
      <c r="G26" s="80"/>
      <c r="H26" s="1">
        <f>SUM(H12:H22)</f>
        <v>0</v>
      </c>
      <c r="I26" s="9">
        <f t="shared" ref="I26:U26" si="29">SUM(I16:I25)</f>
        <v>8213</v>
      </c>
      <c r="J26" s="9">
        <f t="shared" si="29"/>
        <v>7420</v>
      </c>
      <c r="K26" s="9">
        <f t="shared" si="29"/>
        <v>8227</v>
      </c>
      <c r="L26" s="9">
        <f t="shared" si="29"/>
        <v>7930</v>
      </c>
      <c r="M26" s="9">
        <f t="shared" si="29"/>
        <v>9211</v>
      </c>
      <c r="N26" s="9">
        <f t="shared" si="29"/>
        <v>9098</v>
      </c>
      <c r="O26" s="9">
        <f t="shared" si="29"/>
        <v>9377</v>
      </c>
      <c r="P26" s="9">
        <f t="shared" si="29"/>
        <v>9405</v>
      </c>
      <c r="Q26" s="9">
        <f t="shared" si="29"/>
        <v>9024</v>
      </c>
      <c r="R26" s="9">
        <f t="shared" si="29"/>
        <v>8213</v>
      </c>
      <c r="S26" s="9">
        <f t="shared" si="29"/>
        <v>7958</v>
      </c>
      <c r="T26" s="9">
        <f t="shared" si="29"/>
        <v>8199</v>
      </c>
      <c r="U26" s="11">
        <f t="shared" si="29"/>
        <v>102275</v>
      </c>
      <c r="V26" s="9"/>
      <c r="W26" s="9">
        <f t="shared" ref="W26:AI26" si="30">SUM(W16:W25)</f>
        <v>83909.72</v>
      </c>
      <c r="X26" s="9">
        <f t="shared" si="30"/>
        <v>75804.959999999992</v>
      </c>
      <c r="Y26" s="9">
        <f t="shared" si="30"/>
        <v>84030.12</v>
      </c>
      <c r="Z26" s="9">
        <f t="shared" si="30"/>
        <v>81047.600000000006</v>
      </c>
      <c r="AA26" s="9">
        <f t="shared" si="30"/>
        <v>94078.12</v>
      </c>
      <c r="AB26" s="9">
        <f t="shared" si="30"/>
        <v>93489.400000000009</v>
      </c>
      <c r="AC26" s="9">
        <f t="shared" si="30"/>
        <v>96397.01999999999</v>
      </c>
      <c r="AD26" s="9">
        <f t="shared" si="30"/>
        <v>96637.819999999992</v>
      </c>
      <c r="AE26" s="9">
        <f t="shared" si="30"/>
        <v>92520</v>
      </c>
      <c r="AF26" s="9">
        <f t="shared" si="30"/>
        <v>83909.72</v>
      </c>
      <c r="AG26" s="9">
        <f t="shared" si="30"/>
        <v>81288.400000000009</v>
      </c>
      <c r="AH26" s="9">
        <f t="shared" si="30"/>
        <v>83789.319999999992</v>
      </c>
      <c r="AI26" s="11">
        <f t="shared" si="30"/>
        <v>1046902.2000000001</v>
      </c>
      <c r="AJ26" s="83"/>
      <c r="AK26" s="84"/>
      <c r="AL26" s="84"/>
      <c r="AM26" s="85"/>
      <c r="AN26" s="17"/>
      <c r="AO26" s="45">
        <f t="shared" ref="AO26:AZ26" si="31">SUM(AO16:AO25)</f>
        <v>2733738.1551999995</v>
      </c>
      <c r="AP26" s="45">
        <f t="shared" si="31"/>
        <v>2470728.1696000001</v>
      </c>
      <c r="AQ26" s="45">
        <f t="shared" si="31"/>
        <v>2745714.3431999995</v>
      </c>
      <c r="AR26" s="45">
        <f t="shared" si="31"/>
        <v>2630099.8959999997</v>
      </c>
      <c r="AS26" s="45">
        <f t="shared" si="31"/>
        <v>3331910.1431999994</v>
      </c>
      <c r="AT26" s="45">
        <f t="shared" si="31"/>
        <v>3373859.0120000001</v>
      </c>
      <c r="AU26" s="45">
        <f t="shared" si="31"/>
        <v>3465562.2651999993</v>
      </c>
      <c r="AV26" s="45">
        <f t="shared" si="31"/>
        <v>3489514.6411999995</v>
      </c>
      <c r="AW26" s="45">
        <f t="shared" si="31"/>
        <v>3313370.9639999997</v>
      </c>
      <c r="AX26" s="45">
        <f t="shared" si="31"/>
        <v>2733738.1551999995</v>
      </c>
      <c r="AY26" s="45">
        <f t="shared" si="31"/>
        <v>2654052.2719999999</v>
      </c>
      <c r="AZ26" s="45">
        <f t="shared" si="31"/>
        <v>2721761.9671999994</v>
      </c>
      <c r="BA26" s="46">
        <f>BA25+BA24+BA23+BA22+BA21+BA20+BA19+BA18+BA17+BA16</f>
        <v>35664050.005999997</v>
      </c>
      <c r="BB26" s="20">
        <f>BB16+BB17+BB18+BB19+BB20+BB21+BB22+BB23+BB24+BB25</f>
        <v>37642000</v>
      </c>
      <c r="BC26" s="64">
        <f>BC16+BC18+BC19+BC21+BC22+BC23+BC24</f>
        <v>1977673.6940000008</v>
      </c>
      <c r="BD26" s="64">
        <f>BC25+BC20+BC17</f>
        <v>276.30000000121072</v>
      </c>
      <c r="BE26" s="61"/>
    </row>
    <row r="27" spans="1:57" ht="10.5" customHeight="1" x14ac:dyDescent="0.25">
      <c r="AP27" t="s">
        <v>41</v>
      </c>
      <c r="BB27" s="20"/>
    </row>
    <row r="28" spans="1:57" hidden="1" x14ac:dyDescent="0.25">
      <c r="E28" s="81"/>
      <c r="F28" s="77"/>
      <c r="G28" s="77"/>
      <c r="H28" s="77"/>
      <c r="I28" s="77"/>
      <c r="J28" s="77"/>
      <c r="Q28" s="82"/>
      <c r="R28" s="77"/>
      <c r="S28" s="77"/>
      <c r="T28" s="77"/>
      <c r="Z28" s="81"/>
      <c r="AA28" s="81"/>
      <c r="AB28" s="81"/>
      <c r="AC28" s="81"/>
      <c r="AD28" s="81"/>
      <c r="AE28" s="81"/>
      <c r="AH28" s="81"/>
      <c r="AI28" s="77"/>
      <c r="AJ28" s="77"/>
      <c r="AK28" s="77"/>
      <c r="AL28" s="77"/>
      <c r="AM28" s="77"/>
      <c r="AN28" s="77"/>
      <c r="AO28" s="77"/>
      <c r="AP28" s="77"/>
      <c r="AT28" s="81"/>
      <c r="AU28" s="77"/>
      <c r="AV28" s="77"/>
      <c r="AW28" s="77"/>
      <c r="AX28" s="82"/>
      <c r="AY28" s="77"/>
      <c r="AZ28" s="77"/>
      <c r="BA28" s="77"/>
      <c r="BB28" s="18">
        <f>SUM(BA12:BA25)</f>
        <v>48870315.126000002</v>
      </c>
    </row>
    <row r="29" spans="1:57" ht="21.75" hidden="1" customHeight="1" x14ac:dyDescent="0.25"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81"/>
      <c r="AZ29" s="77"/>
      <c r="BA29" s="77"/>
      <c r="BB29" s="27"/>
    </row>
    <row r="30" spans="1:57" ht="4.5" hidden="1" customHeight="1" x14ac:dyDescent="0.25"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</row>
    <row r="31" spans="1:57" hidden="1" x14ac:dyDescent="0.25"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BB31" s="19"/>
    </row>
    <row r="32" spans="1:57" ht="25.5" hidden="1" customHeight="1" x14ac:dyDescent="0.25"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BB32" s="19">
        <f>SUM(AO26:AZ26)</f>
        <v>35664049.983999997</v>
      </c>
      <c r="BC32" s="19"/>
    </row>
    <row r="33" spans="3:54" hidden="1" x14ac:dyDescent="0.25"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BB33" s="19">
        <f>SUM(AO26:AZ26)</f>
        <v>35664049.983999997</v>
      </c>
    </row>
    <row r="34" spans="3:54" ht="141" customHeight="1" x14ac:dyDescent="0.25"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</row>
    <row r="35" spans="3:54" x14ac:dyDescent="0.25">
      <c r="I35" s="71" t="s">
        <v>12</v>
      </c>
      <c r="J35" s="71" t="s">
        <v>13</v>
      </c>
      <c r="K35" s="112" t="s">
        <v>14</v>
      </c>
      <c r="L35" s="112" t="s">
        <v>15</v>
      </c>
      <c r="M35" s="112" t="s">
        <v>16</v>
      </c>
      <c r="N35" s="112" t="s">
        <v>17</v>
      </c>
      <c r="O35" s="112" t="s">
        <v>18</v>
      </c>
      <c r="P35" s="112" t="s">
        <v>19</v>
      </c>
      <c r="Q35" s="112" t="s">
        <v>20</v>
      </c>
      <c r="R35" s="112" t="s">
        <v>21</v>
      </c>
      <c r="S35" s="112" t="s">
        <v>22</v>
      </c>
      <c r="T35" s="112" t="s">
        <v>23</v>
      </c>
      <c r="U35" s="48"/>
      <c r="V35" s="48"/>
      <c r="W35" s="112" t="s">
        <v>12</v>
      </c>
      <c r="X35" s="112" t="s">
        <v>13</v>
      </c>
      <c r="Y35" s="112" t="s">
        <v>14</v>
      </c>
      <c r="Z35" s="112" t="s">
        <v>15</v>
      </c>
      <c r="AA35" s="112" t="s">
        <v>16</v>
      </c>
      <c r="AB35" s="112" t="s">
        <v>17</v>
      </c>
      <c r="AC35" s="112" t="s">
        <v>18</v>
      </c>
      <c r="AD35" s="112" t="s">
        <v>19</v>
      </c>
      <c r="AE35" s="112" t="s">
        <v>20</v>
      </c>
      <c r="AF35" s="112" t="s">
        <v>21</v>
      </c>
      <c r="AG35" s="112" t="s">
        <v>22</v>
      </c>
      <c r="AH35" s="112" t="s">
        <v>23</v>
      </c>
      <c r="AI35" s="48"/>
      <c r="AJ35" s="48"/>
      <c r="AK35" s="48"/>
      <c r="AL35" s="48"/>
      <c r="AM35" s="48"/>
      <c r="AN35" s="48"/>
      <c r="AO35" s="112" t="s">
        <v>12</v>
      </c>
      <c r="AP35" s="112" t="s">
        <v>13</v>
      </c>
      <c r="AQ35" s="112" t="s">
        <v>14</v>
      </c>
      <c r="AR35" s="112" t="s">
        <v>15</v>
      </c>
      <c r="AS35" s="112" t="s">
        <v>16</v>
      </c>
      <c r="AT35" s="112" t="s">
        <v>17</v>
      </c>
      <c r="AU35" s="112" t="s">
        <v>18</v>
      </c>
      <c r="AV35" s="71" t="s">
        <v>19</v>
      </c>
      <c r="AW35" s="71" t="s">
        <v>20</v>
      </c>
      <c r="AX35" s="71" t="s">
        <v>21</v>
      </c>
      <c r="AY35" s="71" t="s">
        <v>22</v>
      </c>
      <c r="AZ35" s="71" t="s">
        <v>23</v>
      </c>
      <c r="BB35" s="19"/>
    </row>
    <row r="36" spans="3:54" ht="30" customHeight="1" x14ac:dyDescent="0.25">
      <c r="I36" s="72"/>
      <c r="J36" s="72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48"/>
      <c r="V36" s="48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48"/>
      <c r="AJ36" s="48"/>
      <c r="AK36" s="48"/>
      <c r="AL36" s="48"/>
      <c r="AM36" s="48"/>
      <c r="AN36" s="48"/>
      <c r="AO36" s="113"/>
      <c r="AP36" s="113"/>
      <c r="AQ36" s="113"/>
      <c r="AR36" s="113"/>
      <c r="AS36" s="113"/>
      <c r="AT36" s="113"/>
      <c r="AU36" s="113"/>
      <c r="AV36" s="72"/>
      <c r="AW36" s="72"/>
      <c r="AX36" s="72"/>
      <c r="AY36" s="72"/>
      <c r="AZ36" s="72"/>
      <c r="BB36" s="19">
        <f>BB26-37640415.51</f>
        <v>1584.4900000020862</v>
      </c>
    </row>
    <row r="37" spans="3:54" x14ac:dyDescent="0.25">
      <c r="BB37" s="19"/>
    </row>
    <row r="39" spans="3:54" x14ac:dyDescent="0.25">
      <c r="BB39" s="19"/>
    </row>
  </sheetData>
  <mergeCells count="126">
    <mergeCell ref="A16:E16"/>
    <mergeCell ref="AZ35:AZ36"/>
    <mergeCell ref="AU35:AU36"/>
    <mergeCell ref="AV35:AV36"/>
    <mergeCell ref="AW35:AW36"/>
    <mergeCell ref="AX35:AX36"/>
    <mergeCell ref="AY35:AY36"/>
    <mergeCell ref="AP35:AP36"/>
    <mergeCell ref="AQ35:AQ36"/>
    <mergeCell ref="AR35:AR36"/>
    <mergeCell ref="AS35:AS36"/>
    <mergeCell ref="AT35:AT36"/>
    <mergeCell ref="AE35:AE36"/>
    <mergeCell ref="AF35:AF36"/>
    <mergeCell ref="AG35:AG36"/>
    <mergeCell ref="AH35:AH36"/>
    <mergeCell ref="AO35:AO36"/>
    <mergeCell ref="Z35:Z36"/>
    <mergeCell ref="AA35:AA36"/>
    <mergeCell ref="AB35:AB36"/>
    <mergeCell ref="AC35:AC36"/>
    <mergeCell ref="AD35:AD36"/>
    <mergeCell ref="S35:S36"/>
    <mergeCell ref="T35:T36"/>
    <mergeCell ref="W35:W36"/>
    <mergeCell ref="X35:X36"/>
    <mergeCell ref="Y35:Y36"/>
    <mergeCell ref="N35:N36"/>
    <mergeCell ref="O35:O36"/>
    <mergeCell ref="P35:P36"/>
    <mergeCell ref="Q35:Q36"/>
    <mergeCell ref="R35:R36"/>
    <mergeCell ref="I35:I36"/>
    <mergeCell ref="J35:J36"/>
    <mergeCell ref="K35:K36"/>
    <mergeCell ref="L35:L36"/>
    <mergeCell ref="M35:M36"/>
    <mergeCell ref="AI4:BA4"/>
    <mergeCell ref="AJ20:AM20"/>
    <mergeCell ref="AJ21:AM21"/>
    <mergeCell ref="AJ23:AM23"/>
    <mergeCell ref="AJ25:AM25"/>
    <mergeCell ref="AJ11:AM11"/>
    <mergeCell ref="AJ12:AM12"/>
    <mergeCell ref="AJ13:AM13"/>
    <mergeCell ref="AJ14:AM14"/>
    <mergeCell ref="AJ15:AM15"/>
    <mergeCell ref="AJ17:AM17"/>
    <mergeCell ref="AJ18:AM18"/>
    <mergeCell ref="AJ19:AM19"/>
    <mergeCell ref="AJ24:AM24"/>
    <mergeCell ref="AJ22:AM22"/>
    <mergeCell ref="AJ8:AM10"/>
    <mergeCell ref="AI9:AI10"/>
    <mergeCell ref="C31:AY31"/>
    <mergeCell ref="C32:AY32"/>
    <mergeCell ref="C33:AY33"/>
    <mergeCell ref="C34:AY34"/>
    <mergeCell ref="AP2:BA2"/>
    <mergeCell ref="AP3:BA3"/>
    <mergeCell ref="BA9:BA10"/>
    <mergeCell ref="AN8:BA8"/>
    <mergeCell ref="A6:BA6"/>
    <mergeCell ref="A5:BA5"/>
    <mergeCell ref="AU9:AU10"/>
    <mergeCell ref="AV9:AV10"/>
    <mergeCell ref="AW9:AW10"/>
    <mergeCell ref="AX9:AX10"/>
    <mergeCell ref="AY9:AY10"/>
    <mergeCell ref="A8:A10"/>
    <mergeCell ref="B8:B10"/>
    <mergeCell ref="C8:C10"/>
    <mergeCell ref="D8:D10"/>
    <mergeCell ref="E8:E10"/>
    <mergeCell ref="Q9:Q10"/>
    <mergeCell ref="R9:R10"/>
    <mergeCell ref="S9:S10"/>
    <mergeCell ref="W9:W10"/>
    <mergeCell ref="R4:X4"/>
    <mergeCell ref="AZ9:AZ10"/>
    <mergeCell ref="AN9:AN10"/>
    <mergeCell ref="A26:G26"/>
    <mergeCell ref="Z28:AE28"/>
    <mergeCell ref="AX28:BA28"/>
    <mergeCell ref="AT28:AW28"/>
    <mergeCell ref="AY29:BA29"/>
    <mergeCell ref="AH28:AP28"/>
    <mergeCell ref="Q28:T28"/>
    <mergeCell ref="E28:J28"/>
    <mergeCell ref="AJ26:AM26"/>
    <mergeCell ref="H8:U8"/>
    <mergeCell ref="AP9:AP10"/>
    <mergeCell ref="AQ9:AQ10"/>
    <mergeCell ref="AR9:AR10"/>
    <mergeCell ref="AS9:AS10"/>
    <mergeCell ref="AC9:AC10"/>
    <mergeCell ref="AD9:AD10"/>
    <mergeCell ref="AE9:AE10"/>
    <mergeCell ref="AT9:AT10"/>
    <mergeCell ref="AF9:AF10"/>
    <mergeCell ref="AG9:AG10"/>
    <mergeCell ref="AH9:AH10"/>
    <mergeCell ref="C30:AY30"/>
    <mergeCell ref="AS1:BA1"/>
    <mergeCell ref="C29:AX29"/>
    <mergeCell ref="F8:F10"/>
    <mergeCell ref="U9:U10"/>
    <mergeCell ref="M9:M10"/>
    <mergeCell ref="N9:N10"/>
    <mergeCell ref="O9:O10"/>
    <mergeCell ref="P9:P10"/>
    <mergeCell ref="V8:AI8"/>
    <mergeCell ref="V9:V10"/>
    <mergeCell ref="X9:X10"/>
    <mergeCell ref="Y9:Y10"/>
    <mergeCell ref="G8:G10"/>
    <mergeCell ref="H9:H10"/>
    <mergeCell ref="J9:J10"/>
    <mergeCell ref="T9:T10"/>
    <mergeCell ref="I9:I10"/>
    <mergeCell ref="AO9:AO10"/>
    <mergeCell ref="Z9:Z10"/>
    <mergeCell ref="AA9:AA10"/>
    <mergeCell ref="AB9:AB10"/>
    <mergeCell ref="K9:K10"/>
    <mergeCell ref="L9:L10"/>
  </mergeCells>
  <pageMargins left="3.937007874015748E-2" right="3.937007874015748E-2" top="0.15748031496062992" bottom="0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2023-02-02T08:13:16Z</dcterms:modified>
</cp:coreProperties>
</file>